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D:\Zoho WorkDrive (MEDIADOR ALL IN ONE)\General\PROYECTO MAIO\RAFAEL BONILLA 10+\MAIO 10+\RAFAEL BONLLA ESTRATEGIA 10+ ESPAÑA\10+ LANZAMIENTO ESTRATEGIA GLOBAL\WEBINAR\LEAD MAGNET\calculadora\"/>
    </mc:Choice>
  </mc:AlternateContent>
  <xr:revisionPtr revIDLastSave="0" documentId="8_{C105B276-69FF-44DE-A6E0-2FCF36D666F3}" xr6:coauthVersionLast="47" xr6:coauthVersionMax="47" xr10:uidLastSave="{00000000-0000-0000-0000-000000000000}"/>
  <bookViews>
    <workbookView xWindow="19200" yWindow="0" windowWidth="19200" windowHeight="15480" tabRatio="500" activeTab="4" xr2:uid="{00000000-000D-0000-FFFF-FFFF00000000}"/>
  </bookViews>
  <sheets>
    <sheet name="EMPIEZA AQUÍ" sheetId="1" r:id="rId1"/>
    <sheet name="VENTA DIRECTA" sheetId="2" r:id="rId2"/>
    <sheet name="VENTA CON CIERRE" sheetId="3" r:id="rId3"/>
    <sheet name="FORMAS DE LLEGAR" sheetId="4" r:id="rId4"/>
    <sheet name="GUÍA Y FÓRMULAS" sheetId="5" r:id="rId5"/>
  </sheets>
  <definedNames>
    <definedName name="_xlnm.Print_Area" localSheetId="0">'EMPIEZA AQUÍ'!$A$1:$O$44</definedName>
    <definedName name="_xlnm.Print_Area" localSheetId="3">'FORMAS DE LLEGAR'!$A$1:$O$42</definedName>
    <definedName name="_xlnm.Print_Area" localSheetId="4">'GUÍA Y FÓRMULAS'!$A$1:$O$50</definedName>
    <definedName name="_xlnm.Print_Area" localSheetId="2">'VENTA CON CIERRE'!$A$1:$O$65</definedName>
    <definedName name="_xlnm.Print_Area" localSheetId="1">'VENTA DIRECTA'!$A$1:$O$64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0" i="4" l="1"/>
  <c r="I30" i="3"/>
  <c r="N30" i="3"/>
  <c r="B26" i="3"/>
  <c r="G12" i="3"/>
  <c r="I22" i="2"/>
  <c r="N22" i="2"/>
  <c r="D26" i="2"/>
  <c r="D27" i="2" s="1"/>
  <c r="K28" i="4"/>
  <c r="N28" i="4" s="1"/>
  <c r="K27" i="4"/>
  <c r="N27" i="4" s="1"/>
  <c r="K26" i="4"/>
  <c r="N26" i="4" s="1"/>
  <c r="K25" i="4"/>
  <c r="N25" i="4" s="1"/>
  <c r="K24" i="4"/>
  <c r="K18" i="4"/>
  <c r="N18" i="4" s="1"/>
  <c r="D18" i="4"/>
  <c r="G18" i="4" s="1"/>
  <c r="K17" i="4"/>
  <c r="N17" i="4" s="1"/>
  <c r="D17" i="4"/>
  <c r="G17" i="4" s="1"/>
  <c r="K16" i="4"/>
  <c r="N16" i="4" s="1"/>
  <c r="D16" i="4"/>
  <c r="G16" i="4" s="1"/>
  <c r="K15" i="4"/>
  <c r="N15" i="4" s="1"/>
  <c r="D15" i="4"/>
  <c r="G15" i="4" s="1"/>
  <c r="K14" i="4"/>
  <c r="N14" i="4" s="1"/>
  <c r="D14" i="4"/>
  <c r="G14" i="4" s="1"/>
  <c r="K13" i="4"/>
  <c r="N13" i="4" s="1"/>
  <c r="D13" i="4"/>
  <c r="G13" i="4" s="1"/>
  <c r="M55" i="3"/>
  <c r="K55" i="3"/>
  <c r="I55" i="3"/>
  <c r="G55" i="3"/>
  <c r="D55" i="3"/>
  <c r="M54" i="3"/>
  <c r="K54" i="3"/>
  <c r="I54" i="3"/>
  <c r="G54" i="3"/>
  <c r="D54" i="3"/>
  <c r="M46" i="3"/>
  <c r="K46" i="3"/>
  <c r="I46" i="3"/>
  <c r="G46" i="3"/>
  <c r="D46" i="3"/>
  <c r="M45" i="3"/>
  <c r="K45" i="3"/>
  <c r="I45" i="3"/>
  <c r="G45" i="3"/>
  <c r="D45" i="3"/>
  <c r="L22" i="3"/>
  <c r="H22" i="3"/>
  <c r="E22" i="3"/>
  <c r="B22" i="3"/>
  <c r="M16" i="3"/>
  <c r="J16" i="3"/>
  <c r="G16" i="3"/>
  <c r="D13" i="3"/>
  <c r="M12" i="3"/>
  <c r="J12" i="3"/>
  <c r="M8" i="3"/>
  <c r="J8" i="3"/>
  <c r="G8" i="3"/>
  <c r="M55" i="2"/>
  <c r="J55" i="2"/>
  <c r="G55" i="2"/>
  <c r="D55" i="2"/>
  <c r="M54" i="2"/>
  <c r="J54" i="2"/>
  <c r="G54" i="2"/>
  <c r="D54" i="2"/>
  <c r="M46" i="2"/>
  <c r="J46" i="2"/>
  <c r="G46" i="2"/>
  <c r="D46" i="2"/>
  <c r="M45" i="2"/>
  <c r="J45" i="2"/>
  <c r="G45" i="2"/>
  <c r="D45" i="2"/>
  <c r="B40" i="2"/>
  <c r="L36" i="2"/>
  <c r="G36" i="2"/>
  <c r="B36" i="2"/>
  <c r="M17" i="2"/>
  <c r="D14" i="2"/>
  <c r="D15" i="2" s="1"/>
  <c r="M13" i="2"/>
  <c r="J13" i="2"/>
  <c r="G13" i="2"/>
  <c r="D25" i="2" s="1"/>
  <c r="M9" i="2"/>
  <c r="J9" i="2"/>
  <c r="G9" i="2"/>
  <c r="D33" i="3" l="1"/>
  <c r="D35" i="3"/>
  <c r="L33" i="3"/>
  <c r="D34" i="3"/>
  <c r="L34" i="3"/>
  <c r="L35" i="3"/>
  <c r="L37" i="3" s="1"/>
  <c r="L40" i="3"/>
  <c r="D38" i="3"/>
  <c r="L36" i="3"/>
  <c r="D28" i="2"/>
  <c r="L25" i="2"/>
  <c r="L26" i="2"/>
  <c r="L27" i="2" s="1"/>
  <c r="L30" i="2"/>
  <c r="K30" i="4"/>
  <c r="N24" i="4"/>
  <c r="M56" i="3"/>
  <c r="K56" i="3"/>
  <c r="I56" i="3"/>
  <c r="G56" i="3"/>
  <c r="D56" i="3"/>
  <c r="M47" i="3"/>
  <c r="K47" i="3"/>
  <c r="I47" i="3"/>
  <c r="G47" i="3"/>
  <c r="D47" i="3"/>
  <c r="D14" i="3"/>
  <c r="M56" i="2"/>
  <c r="J56" i="2"/>
  <c r="G56" i="2"/>
  <c r="D56" i="2"/>
  <c r="M47" i="2"/>
  <c r="J47" i="2"/>
  <c r="G47" i="2"/>
  <c r="D47" i="2"/>
  <c r="D37" i="3" l="1"/>
  <c r="D36" i="3"/>
  <c r="D39" i="3" s="1"/>
  <c r="L39" i="3"/>
  <c r="L38" i="3"/>
  <c r="D30" i="2"/>
  <c r="D29" i="2"/>
  <c r="L29" i="2"/>
  <c r="L28" i="2"/>
  <c r="N31" i="4"/>
  <c r="K31" i="4"/>
  <c r="D48" i="3"/>
  <c r="G48" i="3"/>
  <c r="I48" i="3"/>
  <c r="K48" i="3"/>
  <c r="M48" i="3"/>
  <c r="D57" i="3"/>
  <c r="G57" i="3"/>
  <c r="I57" i="3"/>
  <c r="K57" i="3"/>
  <c r="M57" i="3"/>
  <c r="G17" i="2"/>
  <c r="J17" i="2"/>
  <c r="D48" i="2"/>
  <c r="G48" i="2"/>
  <c r="J48" i="2"/>
  <c r="M48" i="2"/>
  <c r="D57" i="2"/>
  <c r="G57" i="2"/>
  <c r="J57" i="2"/>
  <c r="M5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Bonilla 10+</author>
  </authors>
  <commentList>
    <comment ref="D8" authorId="0" shapeId="0" xr:uid="{00000000-0006-0000-0100-000001000000}">
      <text>
        <r>
          <rPr>
            <sz val="10"/>
            <rFont val="Arial"/>
            <family val="2"/>
          </rPr>
          <t>Escribe el nombre de tu empresa.</t>
        </r>
      </text>
    </comment>
    <comment ref="D9" authorId="0" shapeId="0" xr:uid="{00000000-0006-0000-0100-000002000000}">
      <text>
        <r>
          <rPr>
            <sz val="10"/>
            <rFont val="Arial"/>
            <family val="2"/>
          </rPr>
          <t>Facturación anual que quieres alcanzar. No equivale a beneficio.</t>
        </r>
      </text>
    </comment>
    <comment ref="D10" authorId="0" shapeId="0" xr:uid="{00000000-0006-0000-0100-000003000000}">
      <text>
        <r>
          <rPr>
            <sz val="10"/>
            <rFont val="Arial"/>
            <family val="2"/>
          </rPr>
          <t>Facturación de los últimos 12 meses o del último ciclo comparable.</t>
        </r>
      </text>
    </comment>
    <comment ref="D11" authorId="0" shapeId="0" xr:uid="{00000000-0006-0000-0100-000004000000}">
      <text>
        <r>
          <rPr>
            <sz val="10"/>
            <rFont val="Arial"/>
            <family val="2"/>
          </rPr>
          <t>Ingresos totales divididos entre el número de compras o tickets.
ESTE ES EL DATO CLAVE, Y TENER LA HABILIDAD PARA AUMENTAR EL TICKET MEDIO TE HACE CONSEGUIR EL OBJETIVO CON MENOS ESFUERZO EN VISITAS NECESARIAS.
ENTRENAMIENTO EN ESTA HABILIDAD ES FUNDAMENTAL</t>
        </r>
      </text>
    </comment>
    <comment ref="D12" authorId="0" shapeId="0" xr:uid="{00000000-0006-0000-0100-000005000000}">
      <text>
        <r>
          <rPr>
            <sz val="10"/>
            <rFont val="Arial"/>
            <family val="2"/>
          </rPr>
          <t>Meses en los que el negocio vende. Debe estar entre 1 y 12.</t>
        </r>
      </text>
    </comment>
    <comment ref="D13" authorId="0" shapeId="0" xr:uid="{00000000-0006-0000-0100-000006000000}">
      <text>
        <r>
          <rPr>
            <sz val="10"/>
            <rFont val="Arial"/>
            <family val="2"/>
          </rPr>
          <t>Días por semana en los que el cliente puede comprar.</t>
        </r>
      </text>
    </comment>
    <comment ref="D14" authorId="0" shapeId="0" xr:uid="{00000000-0006-0000-0100-000007000000}">
      <text>
        <r>
          <rPr>
            <sz val="10"/>
            <rFont val="Arial"/>
            <family val="2"/>
          </rPr>
          <t>Cálculo automático: meses activos × 52 ÷ 12.</t>
        </r>
      </text>
    </comment>
    <comment ref="D15" authorId="0" shapeId="0" xr:uid="{00000000-0006-0000-0100-000008000000}">
      <text>
        <r>
          <rPr>
            <sz val="10"/>
            <rFont val="Arial"/>
            <family val="2"/>
          </rPr>
          <t>Cálculo automático: semanas activas × días por semana.</t>
        </r>
      </text>
    </comment>
    <comment ref="D16" authorId="0" shapeId="0" xr:uid="{00000000-0006-0000-0100-000009000000}">
      <text>
        <r>
          <rPr>
            <sz val="10"/>
            <rFont val="Arial"/>
            <family val="2"/>
          </rPr>
          <t>Porcentaje de personas alcanzadas o impactos que termina visitando el local o la web. Valor de ejemplo: sustitúyelo por el tuyo.
Impacto → visita mide cuántas personas alcanzadas por tu marketing terminan visitando el negocio.
Ejemplo en un restaurante:
20.000 personas ven anuncios, publicaciones, Google Maps, recomendaciones, etc.
1.000 terminan visitando el restaurante.
Conversión impacto → visita: 1.000 ÷ 20.000 = 5 %.
Después:
Si de esas 1.000 visitas, 900 consumen, la conversión visita → compra sería del 90 %.
Si consideras “visita” únicamente a quien se sienta y consume, sería prácticamente del 100 %.
Realmente, para que quede más claro, deberíamos llamarlo:
Personas alcanzadas → visitas al negocio
Ese 5 % que aparece es solo un ejemplo; cada empresa debe introducir su dato estimado o real. Además, es mejor utilizar personas alcanzadas que impresiones, porque una misma persona puede recibir varios impactos.
ESte dato influye en la celda M13 = IMPACTOS NECESARIOS AL AÑO</t>
        </r>
      </text>
    </comment>
    <comment ref="D17" authorId="0" shapeId="0" xr:uid="{00000000-0006-0000-0100-00000A000000}">
      <text>
        <r>
          <rPr>
            <sz val="10"/>
            <rFont val="Arial"/>
            <family val="2"/>
          </rPr>
          <t>Porcentaje de visitas que genera una compra. En un restaurante puede aproximarse al 100 %; en retail o ecommerce normalmente será menor.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Bonilla 10+</author>
    <author>Rafael Bonilla</author>
  </authors>
  <commentList>
    <comment ref="D7" authorId="0" shapeId="0" xr:uid="{00000000-0006-0000-0200-000001000000}">
      <text>
        <r>
          <rPr>
            <sz val="10"/>
            <rFont val="Arial"/>
            <family val="2"/>
          </rPr>
          <t>Escribe el nombre de tu empresa.</t>
        </r>
      </text>
    </comment>
    <comment ref="D8" authorId="0" shapeId="0" xr:uid="{00000000-0006-0000-0200-000002000000}">
      <text>
        <r>
          <rPr>
            <sz val="10"/>
            <rFont val="Arial"/>
            <family val="2"/>
          </rPr>
          <t>Facturación anual que quieres alcanzar. No equivale a beneficio.</t>
        </r>
      </text>
    </comment>
    <comment ref="D9" authorId="0" shapeId="0" xr:uid="{00000000-0006-0000-0200-000003000000}">
      <text>
        <r>
          <rPr>
            <sz val="10"/>
            <rFont val="Arial"/>
            <family val="2"/>
          </rPr>
          <t>Facturación de los últimos 12 meses o del último ciclo comparable.</t>
        </r>
      </text>
    </comment>
    <comment ref="D10" authorId="0" shapeId="0" xr:uid="{00000000-0006-0000-0200-000004000000}">
      <text>
        <r>
          <rPr>
            <sz val="10"/>
            <rFont val="Arial"/>
            <family val="2"/>
          </rPr>
          <t>Para servicios recurrentes utiliza el valor anual medio del nuevo cliente o contrato, no solo la primera cuota.</t>
        </r>
      </text>
    </comment>
    <comment ref="D11" authorId="0" shapeId="0" xr:uid="{00000000-0006-0000-0200-000005000000}">
      <text>
        <r>
          <rPr>
            <sz val="10"/>
            <rFont val="Arial"/>
            <family val="2"/>
          </rPr>
          <t>Meses en los que el equipo comercial trabaja. Debe estar entre 1 y 12.</t>
        </r>
      </text>
    </comment>
    <comment ref="D12" authorId="0" shapeId="0" xr:uid="{00000000-0006-0000-0200-000006000000}">
      <text>
        <r>
          <rPr>
            <sz val="10"/>
            <rFont val="Arial"/>
            <family val="2"/>
          </rPr>
          <t>Días por semana en los que el equipo prospecta, atiende o vende.</t>
        </r>
      </text>
    </comment>
    <comment ref="D13" authorId="0" shapeId="0" xr:uid="{00000000-0006-0000-0200-000007000000}">
      <text>
        <r>
          <rPr>
            <sz val="10"/>
            <rFont val="Arial"/>
            <family val="2"/>
          </rPr>
          <t>Cálculo automático: meses activos × 52 ÷ 12.</t>
        </r>
      </text>
    </comment>
    <comment ref="D14" authorId="0" shapeId="0" xr:uid="{00000000-0006-0000-0200-000008000000}">
      <text>
        <r>
          <rPr>
            <sz val="10"/>
            <rFont val="Arial"/>
            <family val="2"/>
          </rPr>
          <t>Cálculo automático: semanas activas × días por semana.</t>
        </r>
      </text>
    </comment>
    <comment ref="D15" authorId="0" shapeId="0" xr:uid="{00000000-0006-0000-0200-000009000000}">
      <text>
        <r>
          <rPr>
            <sz val="10"/>
            <rFont val="Arial"/>
            <family val="2"/>
          </rPr>
          <t>Porcentaje de personas alcanzadas que deja sus datos, llama, escribe o inicia conversación. Ejemplo ilustrativo.</t>
        </r>
      </text>
    </comment>
    <comment ref="D16" authorId="0" shapeId="0" xr:uid="{00000000-0006-0000-0200-00000A000000}">
      <text>
        <r>
          <rPr>
            <sz val="10"/>
            <rFont val="Arial"/>
            <family val="2"/>
          </rPr>
          <t>Porcentaje de contactos que cumple los criterios y entra en una conversación comercial real.</t>
        </r>
      </text>
    </comment>
    <comment ref="D17" authorId="0" shapeId="0" xr:uid="{00000000-0006-0000-0200-00000B000000}">
      <text>
        <r>
          <rPr>
            <sz val="10"/>
            <rFont val="Arial"/>
            <family val="2"/>
          </rPr>
          <t>Tu tasa de cierre: operaciones ganadas divididas entre oportunidades cualificadas trabajadas.</t>
        </r>
      </text>
    </comment>
    <comment ref="B60" authorId="1" shapeId="0" xr:uid="{B8DB0340-B444-49FD-9962-2066FD250ACD}">
      <text>
        <r>
          <rPr>
            <b/>
            <sz val="9"/>
            <color indexed="81"/>
            <rFont val="Tahoma"/>
            <family val="2"/>
          </rPr>
          <t>Rafael Bonilla:</t>
        </r>
        <r>
          <rPr>
            <sz val="9"/>
            <color indexed="81"/>
            <rFont val="Tahoma"/>
            <family val="2"/>
          </rPr>
          <t xml:space="preserve">
El recorrido real de una venta de servicios
Impacto → contacto → oportunidad → venta
Impacto: una persona ve tu anuncio o contenido.
Contacto: deja sus datos, responde o habla contigo.
Oportunidad: confirmas que tiene necesidad, interés y capacidad para comprar.
Venta: acepta la propuesta y contrata.
Ejemplo de una gestoría
Supongamos:
Cuota mensual: 250 €
Valor anual del cliente: 250 × 12 = 3.000 €
Objetivo: 300.000 €
Conversión contacto → oportunidad: 40 %
Conversión oportunidad → venta: 25 %
Los cálculos serían:
Ventas necesarias:
300.000 € ÷ 3.000 € = 100 clientes
Oportunidades necesarias:
100 ventas ÷ 25 % = 400 oportunidades
Contactos necesarios:
400 oportunidades ÷ 40 % = 1.000 contactos
Por tanto:
1.000 contactos → 400 oportunidades reales → 100 ventas
La conversión total de contacto a venta sería solamente del 10 %.
La idea fundamental es esta: si necesitas 100 ventas, no necesitas 100 contactos. Necesitas muchos más, porque una parte no estará interesada, otra no encajará y otra no comprará.
Y en un servicio recurrente de 250 € mensuales, el ticket no es 250 €: es 3.000 € anuales, porque eso es lo que vale realmente cada cliente durante doce meses.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Bonilla 10+</author>
    <author>Rafael Bonilla</author>
  </authors>
  <commentList>
    <comment ref="D8" authorId="0" shapeId="0" xr:uid="{00000000-0006-0000-0300-000001000000}">
      <text>
        <r>
          <rPr>
            <sz val="10"/>
            <rFont val="Arial"/>
            <family val="2"/>
          </rPr>
          <t>Objetivo anual que quieres descomponer en combinaciones de ventas.</t>
        </r>
      </text>
    </comment>
    <comment ref="B21" authorId="1" shapeId="0" xr:uid="{B9343434-ED4D-410A-B26B-E42050832C35}">
      <text>
        <r>
          <rPr>
            <b/>
            <sz val="9"/>
            <color indexed="81"/>
            <rFont val="Tahoma"/>
            <family val="2"/>
          </rPr>
          <t>Rafael Bonilla:</t>
        </r>
        <r>
          <rPr>
            <sz val="9"/>
            <color indexed="81"/>
            <rFont val="Tahoma"/>
            <family val="2"/>
          </rPr>
          <t xml:space="preserve">
INSTRUCCIONES
1. Edita únicamente las celdas amarillas.
2. Escribe tus productos o servicios reales.
3. Introduce las unidades o clientes que te comprometes a conseguir.
4. Indica el precio o cuota y los meses facturados. Usa 1 para ventas puntuales y 12 para cuotas mensuales durante todo el año.
5. Revisa la facturación anual y el porcentaje del objetivo que aporta cada oferta.
6. Ajusta las cantidades hasta que el TOTAL DE LA COMBINACIÓN alcance como mínimo el 100 % de tu objetivo.
No existe una única combinación correcta. El ejercicio consiste en decidir qué vas a vender, a qué precio y cuántas ventas necesitas realizar.</t>
        </r>
      </text>
    </comment>
  </commentList>
</comments>
</file>

<file path=xl/sharedStrings.xml><?xml version="1.0" encoding="utf-8"?>
<sst xmlns="http://schemas.openxmlformats.org/spreadsheetml/2006/main" count="264" uniqueCount="220">
  <si>
    <t>DOS MODELOS DE NEGOCIO · UNA META CONVERTIDA EN ACTIVIDAD CONCRETA</t>
  </si>
  <si>
    <t>EDITA SOLO LAS CELDAS AMARILLAS · LAS GRISES SE CALCULAN AUTOMÁTICAMENTE</t>
  </si>
  <si>
    <t>1 · ELIGE LA CALCULADORA QUE ENCAJA CON TU FORMA DE VENDER</t>
  </si>
  <si>
    <t>VENTA DIRECTA</t>
  </si>
  <si>
    <t>VENTA CON CIERRE</t>
  </si>
  <si>
    <t>El cliente llega al local, a la web o al punto de venta y compra.
Ejemplos: restaurante, bar, retail de caja, ecommerce o peluquería con cobro directo.</t>
  </si>
  <si>
    <t>El cliente potencial necesita conversación, diagnóstico, propuesta o seguimiento antes de comprar.
Ejemplos: gestoría, seguros, consultoría, inmobiliaria o boutique con venta asistida.</t>
  </si>
  <si>
    <t>ABRIR CALCULADORA DE VENTA DIRECTA  →</t>
  </si>
  <si>
    <t>ABRIR CALCULADORA DE VENTA CON CIERRE  →</t>
  </si>
  <si>
    <t>2 · CÓMO USARLA EN 4 PASOS</t>
  </si>
  <si>
    <t>01</t>
  </si>
  <si>
    <t>02</t>
  </si>
  <si>
    <t>03</t>
  </si>
  <si>
    <t>04</t>
  </si>
  <si>
    <t>ELIGE</t>
  </si>
  <si>
    <t>EDITA</t>
  </si>
  <si>
    <t>COMPRUEBA</t>
  </si>
  <si>
    <t>EJECUTA</t>
  </si>
  <si>
    <t>Escoge el modelo según el recorrido real del cliente.</t>
  </si>
  <si>
    <t>Sustituye solo los datos de las celdas amarillas.</t>
  </si>
  <si>
    <t>Revisa objetivo total, brecha y actividad necesaria.</t>
  </si>
  <si>
    <t>Convierte el cálculo en metas de mes, semana y día.</t>
  </si>
  <si>
    <t>3 · QUÉ SIGNIFICAN LOS COLORES</t>
  </si>
  <si>
    <t>CELDAS AMARILLAS</t>
  </si>
  <si>
    <t>DATOS QUE INTRODUCES TÚ</t>
  </si>
  <si>
    <t>CELDAS GRISES</t>
  </si>
  <si>
    <t>CÁLCULOS AUTOMÁTICOS</t>
  </si>
  <si>
    <t>IMPORTANTE · Elige por el recorrido de compra, no solo por el sector. El objetivo se calcula sobre facturación, no sobre beneficio. Las conversiones de ejemplo son ilustrativas: reemplázalas por tus datos reales. Un mes equivale a 52 ÷ 12 = 4,33 semanas de media; por eso semanas y días se calculan automáticamente.</t>
  </si>
  <si>
    <t>RAFAEL BONILLA 10+ · MÉTODO ALL IN ONE · IBIZA · ESPAÑA</t>
  </si>
  <si>
    <t>IMPACTOS → VISITAS → COMPRAS · PARA NEGOCIOS DONDE EL CLIENTE LLEGA Y COMPRA</t>
  </si>
  <si>
    <t>1 · DATOS DE TU EMPRESA</t>
  </si>
  <si>
    <t>2 · TU OBJETIVO EN NÚMEROS</t>
  </si>
  <si>
    <t>Nombre de la empresa</t>
  </si>
  <si>
    <t>Restaurante Ibiza</t>
  </si>
  <si>
    <t>OBJETIVO ANUAL</t>
  </si>
  <si>
    <t>FACTURACIÓN ACTUAL</t>
  </si>
  <si>
    <t>BRECHA POR CUBRIR</t>
  </si>
  <si>
    <t>Objetivo anual</t>
  </si>
  <si>
    <t>Facturación anual actual</t>
  </si>
  <si>
    <t>Ticket medio por compra</t>
  </si>
  <si>
    <t>Meses activos al año</t>
  </si>
  <si>
    <t>COMPRAS AL AÑO</t>
  </si>
  <si>
    <t>VISITAS NECESARIAS</t>
  </si>
  <si>
    <t>IMPACTOS NECESARIOS</t>
  </si>
  <si>
    <t>Días de venta por semana</t>
  </si>
  <si>
    <t>Semanas activas al año</t>
  </si>
  <si>
    <t>Días activos al año</t>
  </si>
  <si>
    <t>Impacto → visita</t>
  </si>
  <si>
    <t>FACTURACIÓN / DÍA ACTIVO</t>
  </si>
  <si>
    <t>COMPRAS / DÍA ACTIVO</t>
  </si>
  <si>
    <t>Visita → compra</t>
  </si>
  <si>
    <t>EJEMPLO ILUSTRATIVO · CAMBIA TODOS LOS DATOS AMARILLOS</t>
  </si>
  <si>
    <t>3 · FUNNEL ANUAL PARA ALCANZAR EL OBJETIVO TOTAL</t>
  </si>
  <si>
    <t>01 · IMPACTOS COMERCIALES</t>
  </si>
  <si>
    <t>02 · VISITAS / TRÁFICO</t>
  </si>
  <si>
    <t>03 · COMPRAS / TICKETS</t>
  </si>
  <si>
    <t>Personas alcanzadas o exposiciones generadas por marketing, recomendación, ubicación y RR. PP.</t>
  </si>
  <si>
    <t>Personas que llegan al local o sesiones que entran en la web.</t>
  </si>
  <si>
    <t>Transacciones necesarias. Una misma persona puede comprar varias veces.</t>
  </si>
  <si>
    <t>4 · RITMO PARA ALCANZAR EL OBJETIVO TOTAL</t>
  </si>
  <si>
    <t>PERIODO</t>
  </si>
  <si>
    <t>FACTURACIÓN</t>
  </si>
  <si>
    <t>COMPRAS</t>
  </si>
  <si>
    <t>VISITAS</t>
  </si>
  <si>
    <t>IMPACTOS</t>
  </si>
  <si>
    <t>AÑO</t>
  </si>
  <si>
    <t>MES ACTIVO</t>
  </si>
  <si>
    <t>SEMANA ACTIVA</t>
  </si>
  <si>
    <t>DÍA ACTIVO</t>
  </si>
  <si>
    <t>5 · ACTIVIDAD ADICIONAL PARA CERRAR LA BRECHA</t>
  </si>
  <si>
    <t>FACTURACIÓN EXTRA</t>
  </si>
  <si>
    <t>COMPRAS EXTRA</t>
  </si>
  <si>
    <t>VISITAS EXTRA</t>
  </si>
  <si>
    <t>IMPACTOS EXTRA</t>
  </si>
  <si>
    <t>LECTURA CORRECTA · En venta directa no existe una oportunidad comercial que un vendedor deba cerrar: la compra es la conversión final. Si una visita no siempre compra, reduce el porcentaje visita → compra. Los impactos pueden incluir repeticiones de una misma persona.</t>
  </si>
  <si>
    <t>RAFAEL BONILLA 10+ · RADIOGRAFÍA 10+ DEL CRECIMIENTO EMPRESARIAL</t>
  </si>
  <si>
    <t>IMPACTOS → CONTACTOS → OPORTUNIDADES → OPERACIONES CERRADAS</t>
  </si>
  <si>
    <t>Gestoría Ibiza</t>
  </si>
  <si>
    <t>Valor medio por cierre</t>
  </si>
  <si>
    <t>CIERRES AL AÑO</t>
  </si>
  <si>
    <t>OPORTUNIDADES</t>
  </si>
  <si>
    <t>CONTACTOS / LEADS</t>
  </si>
  <si>
    <t>Días comerciales / semana</t>
  </si>
  <si>
    <t>Impacto → contacto</t>
  </si>
  <si>
    <t>CIERRES / MES ACTIVO</t>
  </si>
  <si>
    <t>CIERRES ADICIONALES</t>
  </si>
  <si>
    <t>Contacto → oportunidad</t>
  </si>
  <si>
    <t>Oportunidad → cierre</t>
  </si>
  <si>
    <t>01 · IMPACTOS</t>
  </si>
  <si>
    <t>02 · CONTACTOS</t>
  </si>
  <si>
    <t>03 · OPORTUNIDADES</t>
  </si>
  <si>
    <t>04 · CIERRES</t>
  </si>
  <si>
    <t>Alcance generado por publicidad, contenidos, prospección, referidos y RR. PP.</t>
  </si>
  <si>
    <t>Personas que responden, preguntan, dejan datos o aceptan conversación.</t>
  </si>
  <si>
    <t>Contactos cualificados con necesidad, encaje y posibilidad real de compra.</t>
  </si>
  <si>
    <t>Contratos u operaciones ganadas que generan facturación.</t>
  </si>
  <si>
    <t>CIERRES</t>
  </si>
  <si>
    <t>CONTACTOS</t>
  </si>
  <si>
    <t>CIERRES EXTRA</t>
  </si>
  <si>
    <t>OPORT. EXTRA</t>
  </si>
  <si>
    <t>CONTACTOS EXTRA</t>
  </si>
  <si>
    <t>¿CUÁNTAS FORMAS HAY DE LLEGAR A TU OBJETIVO?</t>
  </si>
  <si>
    <t>CAMBIA LA CANTIDAD, EL PRECIO O LA RECURRENCIA · LA MATEMÁTICA TE MUESTRA EL CAMINO</t>
  </si>
  <si>
    <t>Facturación objetivo</t>
  </si>
  <si>
    <t>VENTA ÚNICA</t>
  </si>
  <si>
    <t>INGRESO RECURRENTE MENSUAL</t>
  </si>
  <si>
    <t>OPERACIONES</t>
  </si>
  <si>
    <t>VALOR POR OPERACIÓN</t>
  </si>
  <si>
    <t>TOTAL ANUAL</t>
  </si>
  <si>
    <t>CLIENTES</t>
  </si>
  <si>
    <t>CUOTA MENSUAL / CLIENTE</t>
  </si>
  <si>
    <t>CONSTRUYE TU PROPIA COMBINACIÓN DE OFERTAS</t>
  </si>
  <si>
    <t>PRODUCTO / SERVICIO</t>
  </si>
  <si>
    <t>UNIDADES / CLIENTES</t>
  </si>
  <si>
    <t>PRECIO O CUOTA</t>
  </si>
  <si>
    <t>MESES FACTURADOS</t>
  </si>
  <si>
    <t>FACTURACIÓN ANUAL</t>
  </si>
  <si>
    <t>% OBJETIVO</t>
  </si>
  <si>
    <t>Oferta principal</t>
  </si>
  <si>
    <t>Servicio recurrente</t>
  </si>
  <si>
    <t>Producto de entrada</t>
  </si>
  <si>
    <t>Oferta premium</t>
  </si>
  <si>
    <t>Otra línea</t>
  </si>
  <si>
    <t>TOTAL DE LA COMBINACIÓN</t>
  </si>
  <si>
    <t>DIFERENCIA FRENTE AL OBJETIVO</t>
  </si>
  <si>
    <t>CÓMO LEERLO · Una empresa puede alcanzar el mismo objetivo con pocas ventas de alto valor, muchas compras de bajo ticket o una mezcla de ofertas únicas y recurrentes. Usa meses = 1 para ventas puntuales y meses = 12 para cuotas mensuales de todo el año.</t>
  </si>
  <si>
    <t>GUÍA RÁPIDA Y FÓRMULAS</t>
  </si>
  <si>
    <t>QUÉ SIGNIFICA CADA ETAPA · CÓMO SE CALCULA · CÓMO EVITAR INTERPRETACIONES ERRÓNEAS</t>
  </si>
  <si>
    <t>1 · QUÉ CALCULADORA DEBES UTILIZAR</t>
  </si>
  <si>
    <t>MODELO</t>
  </si>
  <si>
    <t>CUÁNDO USARLO</t>
  </si>
  <si>
    <t>RECORRIDO</t>
  </si>
  <si>
    <t>EJEMPLOS</t>
  </si>
  <si>
    <t>El cliente llega y compra sin propuesta comercial.</t>
  </si>
  <si>
    <t>Impactos → visitas → compras</t>
  </si>
  <si>
    <t>Restaurante, bar, retail de caja, ecommerce</t>
  </si>
  <si>
    <t>Hay conversación, cualificación, propuesta o negociación.</t>
  </si>
  <si>
    <t>Impactos → contactos → oportunidades → cierres</t>
  </si>
  <si>
    <t>Gestoría, seguros, boutique asistida, inmobiliaria</t>
  </si>
  <si>
    <t>2 · DEFINICIONES QUE NO DEBES MEZCLAR</t>
  </si>
  <si>
    <t>IMPACTO</t>
  </si>
  <si>
    <t>Una exposición al mensaje comercial. Puede ser una persona única o una repetición, según el canal.</t>
  </si>
  <si>
    <t>VISITA / TRÁFICO</t>
  </si>
  <si>
    <t>Persona que entra al local o sesión que llega a la web. Todavía no implica compra.</t>
  </si>
  <si>
    <t>COMPRA / TICKET</t>
  </si>
  <si>
    <t>Transacción pagada. En venta directa es la conversión final; no es necesariamente un cliente único.</t>
  </si>
  <si>
    <t>CONTACTO / LEAD</t>
  </si>
  <si>
    <t>Persona que responde, deja datos, llama o acepta iniciar una conversación.</t>
  </si>
  <si>
    <t>OPORTUNIDAD</t>
  </si>
  <si>
    <t>Contacto cualificado con necesidad, encaje y posibilidad real de compra que el equipo comercial trabaja.</t>
  </si>
  <si>
    <t>CIERRE</t>
  </si>
  <si>
    <t>Contrato u operación ganada. El porcentaje de cierre es cierres ÷ oportunidades.</t>
  </si>
  <si>
    <t>TICKET / VALOR MEDIO</t>
  </si>
  <si>
    <t>En venta directa: ingreso por transacción. En servicios recurrentes: valor anual medio del nuevo contrato.</t>
  </si>
  <si>
    <t>BRECHA</t>
  </si>
  <si>
    <t>Objetivo anual menos facturación actual. Nunca se muestra como negativa.</t>
  </si>
  <si>
    <t>3 · FÓRMULAS UTILIZADAS</t>
  </si>
  <si>
    <t>Semanas activas</t>
  </si>
  <si>
    <t>Meses activos × 52 ÷ 12</t>
  </si>
  <si>
    <t>Días activos</t>
  </si>
  <si>
    <t>Semanas activas × días de venta o comerciales por semana</t>
  </si>
  <si>
    <t>Compras o cierres</t>
  </si>
  <si>
    <t>Objetivo anual ÷ ticket o valor medio por cierre</t>
  </si>
  <si>
    <t>Visitas necesarias</t>
  </si>
  <si>
    <t>Compras necesarias ÷ conversión visita → compra</t>
  </si>
  <si>
    <t>Oportunidades</t>
  </si>
  <si>
    <t>Cierres necesarios ÷ porcentaje de cierre</t>
  </si>
  <si>
    <t>Contactos</t>
  </si>
  <si>
    <t>Oportunidades necesarias ÷ conversión contacto → oportunidad</t>
  </si>
  <si>
    <t>Impactos</t>
  </si>
  <si>
    <t>Visitas o contactos necesarios ÷ conversión desde impacto</t>
  </si>
  <si>
    <t>Actividad adicional</t>
  </si>
  <si>
    <t>La misma cadena de fórmulas aplicada solo a la brecha por cubrir</t>
  </si>
  <si>
    <t>4 · REGLAS DE USO</t>
  </si>
  <si>
    <t>• No inventes conversiones: usa tu CRM, TPV, analítica web o un periodo reciente comparable.
• Si no tienes histórico, empieza con una hipótesis prudente y actualízala cada semana.
• Facturación no es margen ni beneficio: comprueba después costes, capacidad y caja.
• El cálculo indica el volumen necesario; no garantiza que el mercado o la estructura puedan absorberlo.
• Redondeamos hacia arriba los totales anuales porque no existen fracciones de una operación.</t>
  </si>
  <si>
    <t>COMPRAS ADICIONALES vs. año anterior</t>
  </si>
  <si>
    <t>3-HAZ MAGIA CON LA HABILIDAD DE AUMENTAR EL TICKET DE VENTA</t>
  </si>
  <si>
    <t>4 · FUNNEL ANUAL PARA ALCANZAR EL OBJETIVO TOTAL</t>
  </si>
  <si>
    <t>5 · RITMO PARA ALCANZAR EL OBJETIVO TOTAL</t>
  </si>
  <si>
    <t>6 · ACTIVIDAD ADICIONAL PARA CERRAR LA BRECHA</t>
  </si>
  <si>
    <t>Nuevo ticket medio objetivo</t>
  </si>
  <si>
    <t>Subida del ticket (€)</t>
  </si>
  <si>
    <t>Incremento del ticket (%)</t>
  </si>
  <si>
    <t>MISMO OBJETIVO · MENOS ESFUERZO</t>
  </si>
  <si>
    <t>MISMAS VISITAS · MÁS FACTURACIÓN</t>
  </si>
  <si>
    <t>Visitas objetivo mantenidas</t>
  </si>
  <si>
    <t>Compras generadas</t>
  </si>
  <si>
    <t>Facturación con nuevo ticket</t>
  </si>
  <si>
    <t>Visitas que te ahorras</t>
  </si>
  <si>
    <t>Facturación adicional sobre el objetivo</t>
  </si>
  <si>
    <t>Impactos comerciales que te ahorras</t>
  </si>
  <si>
    <t>Objetivo superado en</t>
  </si>
  <si>
    <t>Reducción de visitas</t>
  </si>
  <si>
    <t>Cada +1 € de ticket aporta al año</t>
  </si>
  <si>
    <t>Compras necesarias ticket actual</t>
  </si>
  <si>
    <t>Compras necesarias nuevo ticket</t>
  </si>
  <si>
    <t>Visitas necesarias nuevo ticket</t>
  </si>
  <si>
    <t>Impactos comerciales te ahorras</t>
  </si>
  <si>
    <t>LECTURA CORRECTA · No todas las personas contactadas se convierten en oportunidades reales, y no todas las oportunidades terminan comprando. Por ejemplo, 1.000 contactos pueden generar 400 oportunidades y solo 100 ventas. Introduce tus porcentajes reales de conversión. Si vendes un servicio mensual, multiplica la cuota por 12 para calcular el valor anual de cada cliente.</t>
  </si>
  <si>
    <t>Nuevo ratio de cierre objetivo</t>
  </si>
  <si>
    <t>Incremento relativo del cierre</t>
  </si>
  <si>
    <t>MISMO OBJETIVO · MENOS OPORTUNIDADES</t>
  </si>
  <si>
    <t>MISMAS OPORTUNIDADES · MÁS FACTURACIÓN</t>
  </si>
  <si>
    <t>Cierres necesarios para el objetivo</t>
  </si>
  <si>
    <t>Oportunidades mantenidas</t>
  </si>
  <si>
    <t>Cierres con ratio actual</t>
  </si>
  <si>
    <t>Oportunidades con el nuevo cierre</t>
  </si>
  <si>
    <t>Cierres con el nuevo ratio</t>
  </si>
  <si>
    <t>Oportunidades que te ahorras</t>
  </si>
  <si>
    <t>Cierres adicionales</t>
  </si>
  <si>
    <t>Contactos que te ahorras</t>
  </si>
  <si>
    <t>Facturación con el nuevo cierre</t>
  </si>
  <si>
    <t>Reducción de oportunidades</t>
  </si>
  <si>
    <t>Cada +1 punto de cierre aporta al año</t>
  </si>
  <si>
    <t>Oportunidades necesarias cierre actual</t>
  </si>
  <si>
    <t xml:space="preserve">Mejora del cierre </t>
  </si>
  <si>
    <r>
      <t>LA PALANCA 10</t>
    </r>
    <r>
      <rPr>
        <b/>
        <sz val="27"/>
        <color rgb="FFFF0000"/>
        <rFont val="Aptos"/>
        <family val="2"/>
      </rPr>
      <t>+</t>
    </r>
    <r>
      <rPr>
        <b/>
        <sz val="27"/>
        <color rgb="FFFFFFFF"/>
        <rFont val="Aptos"/>
        <charset val="1"/>
      </rPr>
      <t xml:space="preserve"> DEL CIERRE</t>
    </r>
  </si>
  <si>
    <t>CALCULADORA DEL OBJETIVO 10+</t>
  </si>
  <si>
    <r>
      <t>1</t>
    </r>
    <r>
      <rPr>
        <b/>
        <sz val="27"/>
        <color rgb="FFFF0000"/>
        <rFont val="Aptos"/>
        <family val="2"/>
      </rPr>
      <t xml:space="preserve">0+ </t>
    </r>
    <r>
      <rPr>
        <b/>
        <sz val="27"/>
        <color rgb="FFFFFFFF"/>
        <rFont val="Aptos"/>
        <charset val="1"/>
      </rPr>
      <t>· CALCULADORA DE VENTA CON CIERRE</t>
    </r>
  </si>
  <si>
    <r>
      <t>1</t>
    </r>
    <r>
      <rPr>
        <b/>
        <sz val="27"/>
        <color rgb="FFFF0000"/>
        <rFont val="Aptos"/>
        <family val="2"/>
      </rPr>
      <t>0+</t>
    </r>
    <r>
      <rPr>
        <b/>
        <sz val="27"/>
        <color rgb="FFFFFFFF"/>
        <rFont val="Aptos"/>
        <charset val="1"/>
      </rPr>
      <t xml:space="preserve"> · CALCULADORA DE VENTA DIRECTA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</si>
</sst>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\ [$€-C0A]"/>
    <numFmt numFmtId="165" formatCode="#,##0.00\ [$€-C0A]"/>
    <numFmt numFmtId="166" formatCode="#,##0.0"/>
    <numFmt numFmtId="167" formatCode="0.0%"/>
  </numFmts>
  <fonts count="45" x14ac:knownFonts="1">
    <font>
      <sz val="11"/>
      <color theme="1"/>
      <name val="Calibri"/>
      <family val="2"/>
      <charset val="1"/>
    </font>
    <font>
      <sz val="10"/>
      <name val="Arial"/>
    </font>
    <font>
      <b/>
      <sz val="27"/>
      <color rgb="FFFFFFFF"/>
      <name val="Aptos"/>
      <charset val="1"/>
    </font>
    <font>
      <b/>
      <sz val="12"/>
      <color rgb="FFFFFFFF"/>
      <name val="Aptos"/>
      <charset val="1"/>
    </font>
    <font>
      <b/>
      <sz val="10"/>
      <color rgb="FFA50F1A"/>
      <name val="Aptos"/>
      <charset val="1"/>
    </font>
    <font>
      <b/>
      <sz val="22"/>
      <color rgb="FFFFFFFF"/>
      <name val="Aptos"/>
      <charset val="1"/>
    </font>
    <font>
      <b/>
      <u/>
      <sz val="11"/>
      <color rgb="FFFFFFFF"/>
      <name val="Aptos"/>
      <charset val="1"/>
    </font>
    <font>
      <sz val="12"/>
      <color theme="10"/>
      <name val="Calibri"/>
      <family val="2"/>
      <charset val="1"/>
    </font>
    <font>
      <b/>
      <sz val="18"/>
      <color rgb="FFE51B2A"/>
      <name val="Aptos Display"/>
      <charset val="1"/>
    </font>
    <font>
      <b/>
      <sz val="10"/>
      <color rgb="FFFFFFFF"/>
      <name val="Aptos"/>
      <charset val="1"/>
    </font>
    <font>
      <b/>
      <sz val="12"/>
      <color rgb="FF0B0B0D"/>
      <name val="Aptos"/>
      <charset val="1"/>
    </font>
    <font>
      <b/>
      <sz val="10"/>
      <color rgb="FF0B0B0D"/>
      <name val="Aptos"/>
      <charset val="1"/>
    </font>
    <font>
      <b/>
      <sz val="9.5"/>
      <color rgb="FF0B0B0D"/>
      <name val="Aptos"/>
      <charset val="1"/>
    </font>
    <font>
      <b/>
      <sz val="10.5"/>
      <color rgb="FF0B0B0D"/>
      <name val="Aptos"/>
      <charset val="1"/>
    </font>
    <font>
      <b/>
      <sz val="8.5"/>
      <color rgb="FFFFFFFF"/>
      <name val="Aptos"/>
      <charset val="1"/>
    </font>
    <font>
      <b/>
      <sz val="18"/>
      <color rgb="FFFFFFFF"/>
      <name val="Aptos Display"/>
      <charset val="1"/>
    </font>
    <font>
      <b/>
      <sz val="7.5"/>
      <color rgb="FFA50F1A"/>
      <name val="Aptos"/>
      <charset val="1"/>
    </font>
    <font>
      <b/>
      <sz val="9"/>
      <color rgb="FFFFFFFF"/>
      <name val="Aptos"/>
      <charset val="1"/>
    </font>
    <font>
      <b/>
      <sz val="20"/>
      <color rgb="FFFFFFFF"/>
      <name val="Aptos Display"/>
      <charset val="1"/>
    </font>
    <font>
      <sz val="9.5"/>
      <color rgb="FF0B0B0D"/>
      <name val="Aptos"/>
      <charset val="1"/>
    </font>
    <font>
      <sz val="10"/>
      <name val="Arial"/>
      <family val="2"/>
    </font>
    <font>
      <b/>
      <sz val="11"/>
      <color rgb="FFFFFFFF"/>
      <name val="Aptos"/>
      <family val="2"/>
    </font>
    <font>
      <b/>
      <sz val="8.5"/>
      <color rgb="FFFFFFFF"/>
      <name val="Aptos"/>
      <family val="2"/>
    </font>
    <font>
      <b/>
      <sz val="8.5"/>
      <color rgb="FFFFFF00"/>
      <name val="Aptos"/>
      <family val="2"/>
    </font>
    <font>
      <b/>
      <sz val="10"/>
      <color rgb="FFFFFF00"/>
      <name val="Aptos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FFFFFF"/>
      <name val="Aptos"/>
      <family val="2"/>
    </font>
    <font>
      <b/>
      <sz val="11"/>
      <color theme="0"/>
      <name val="Calibri"/>
      <family val="2"/>
    </font>
    <font>
      <b/>
      <sz val="12"/>
      <color theme="1"/>
      <name val="Calibri"/>
      <family val="2"/>
    </font>
    <font>
      <b/>
      <sz val="16"/>
      <color theme="0"/>
      <name val="Calibri"/>
      <family val="2"/>
    </font>
    <font>
      <b/>
      <sz val="14"/>
      <color theme="0"/>
      <name val="Calibri"/>
      <family val="2"/>
    </font>
    <font>
      <sz val="14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Calibri"/>
      <family val="2"/>
      <charset val="1"/>
    </font>
    <font>
      <b/>
      <sz val="14"/>
      <color rgb="FF0B0B0D"/>
      <name val="Apto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</font>
    <font>
      <b/>
      <sz val="14"/>
      <name val="Arial"/>
      <family val="2"/>
    </font>
    <font>
      <sz val="14"/>
      <color theme="0"/>
      <name val="Calibri"/>
      <family val="2"/>
    </font>
    <font>
      <b/>
      <sz val="10"/>
      <color theme="1"/>
      <name val="Calibri"/>
      <family val="2"/>
    </font>
    <font>
      <sz val="16"/>
      <name val="Arial"/>
      <family val="2"/>
    </font>
    <font>
      <b/>
      <sz val="27"/>
      <color rgb="FFFF0000"/>
      <name val="Aptos"/>
      <family val="2"/>
    </font>
    <font>
      <b/>
      <sz val="27"/>
      <color rgb="FFFFFFFF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rgb="FF0B0B0D"/>
        <bgColor rgb="FF000000"/>
      </patternFill>
    </fill>
    <fill>
      <patternFill patternType="solid">
        <fgColor rgb="FFE51B2A"/>
        <bgColor rgb="FFA50F1A"/>
      </patternFill>
    </fill>
    <fill>
      <patternFill patternType="solid">
        <fgColor rgb="FFFFFFFF"/>
        <bgColor rgb="FFF1F2F4"/>
      </patternFill>
    </fill>
    <fill>
      <patternFill patternType="solid">
        <fgColor rgb="FF222327"/>
        <bgColor rgb="FF333300"/>
      </patternFill>
    </fill>
    <fill>
      <patternFill patternType="solid">
        <fgColor rgb="FFFFE699"/>
        <bgColor rgb="FFFFF4CC"/>
      </patternFill>
    </fill>
    <fill>
      <patternFill patternType="solid">
        <fgColor rgb="FFE3E5E8"/>
        <bgColor rgb="FFE2F0D9"/>
      </patternFill>
    </fill>
    <fill>
      <patternFill patternType="solid">
        <fgColor rgb="FFFFF4CC"/>
        <bgColor rgb="FFFCE4E6"/>
      </patternFill>
    </fill>
    <fill>
      <patternFill patternType="solid">
        <fgColor rgb="FFF1F2F4"/>
        <bgColor rgb="FFE2F0D9"/>
      </patternFill>
    </fill>
    <fill>
      <patternFill patternType="solid">
        <fgColor rgb="FFA50F1A"/>
        <bgColor rgb="FF800000"/>
      </patternFill>
    </fill>
    <fill>
      <patternFill patternType="solid">
        <fgColor rgb="FFFCE4E6"/>
        <bgColor rgb="FFF1F2F4"/>
      </patternFill>
    </fill>
    <fill>
      <patternFill patternType="solid">
        <fgColor rgb="FFFF0000"/>
        <bgColor rgb="FF3333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B0B0D"/>
      </bottom>
      <diagonal/>
    </border>
    <border>
      <left/>
      <right/>
      <top/>
      <bottom style="medium">
        <color rgb="FFE51B2A"/>
      </bottom>
      <diagonal/>
    </border>
    <border>
      <left/>
      <right/>
      <top/>
      <bottom style="thin">
        <color rgb="FFB9BDC5"/>
      </bottom>
      <diagonal/>
    </border>
    <border>
      <left/>
      <right style="medium">
        <color rgb="FF0B0B0D"/>
      </right>
      <top style="medium">
        <color rgb="FF0B0B0D"/>
      </top>
      <bottom/>
      <diagonal/>
    </border>
    <border>
      <left/>
      <right/>
      <top style="medium">
        <color rgb="FF0B0B0D"/>
      </top>
      <bottom/>
      <diagonal/>
    </border>
    <border>
      <left/>
      <right style="medium">
        <color rgb="FF0B0B0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Border="0" applyAlignment="0" applyProtection="0"/>
    <xf numFmtId="9" fontId="1" fillId="0" borderId="0" applyBorder="0" applyAlignment="0" applyProtection="0"/>
    <xf numFmtId="0" fontId="7" fillId="0" borderId="0"/>
  </cellStyleXfs>
  <cellXfs count="122">
    <xf numFmtId="0" fontId="0" fillId="0" borderId="0" xfId="0"/>
    <xf numFmtId="0" fontId="3" fillId="3" borderId="0" xfId="0" applyFont="1" applyFill="1" applyAlignment="1">
      <alignment vertical="center" wrapText="1"/>
    </xf>
    <xf numFmtId="0" fontId="27" fillId="3" borderId="0" xfId="0" applyFont="1" applyFill="1" applyAlignment="1">
      <alignment vertical="center"/>
    </xf>
    <xf numFmtId="0" fontId="0" fillId="0" borderId="7" xfId="0" applyBorder="1"/>
    <xf numFmtId="3" fontId="0" fillId="0" borderId="7" xfId="0" applyNumberFormat="1" applyBorder="1"/>
    <xf numFmtId="164" fontId="0" fillId="0" borderId="7" xfId="0" applyNumberFormat="1" applyBorder="1"/>
    <xf numFmtId="0" fontId="0" fillId="0" borderId="12" xfId="0" applyBorder="1"/>
    <xf numFmtId="0" fontId="0" fillId="0" borderId="14" xfId="0" applyBorder="1"/>
    <xf numFmtId="165" fontId="0" fillId="0" borderId="0" xfId="0" applyNumberFormat="1"/>
    <xf numFmtId="0" fontId="29" fillId="0" borderId="7" xfId="0" applyFont="1" applyBorder="1" applyAlignment="1">
      <alignment vertical="center"/>
    </xf>
    <xf numFmtId="0" fontId="29" fillId="0" borderId="0" xfId="0" applyFont="1" applyAlignment="1">
      <alignment vertical="center"/>
    </xf>
    <xf numFmtId="165" fontId="29" fillId="0" borderId="8" xfId="0" applyNumberFormat="1" applyFont="1" applyBorder="1" applyAlignment="1">
      <alignment vertical="center"/>
    </xf>
    <xf numFmtId="0" fontId="30" fillId="14" borderId="7" xfId="0" applyFont="1" applyFill="1" applyBorder="1" applyAlignment="1">
      <alignment horizontal="center" vertical="center"/>
    </xf>
    <xf numFmtId="44" fontId="1" fillId="0" borderId="7" xfId="1" applyBorder="1"/>
    <xf numFmtId="44" fontId="33" fillId="14" borderId="7" xfId="1" applyFont="1" applyFill="1" applyBorder="1" applyAlignment="1">
      <alignment horizontal="center" vertical="center"/>
    </xf>
    <xf numFmtId="0" fontId="34" fillId="15" borderId="7" xfId="0" applyFont="1" applyFill="1" applyBorder="1"/>
    <xf numFmtId="0" fontId="31" fillId="15" borderId="7" xfId="0" applyFont="1" applyFill="1" applyBorder="1"/>
    <xf numFmtId="44" fontId="32" fillId="15" borderId="7" xfId="1" applyFont="1" applyFill="1" applyBorder="1"/>
    <xf numFmtId="9" fontId="1" fillId="0" borderId="7" xfId="2" applyBorder="1"/>
    <xf numFmtId="0" fontId="26" fillId="0" borderId="7" xfId="0" applyFont="1" applyBorder="1" applyAlignment="1">
      <alignment vertical="center"/>
    </xf>
    <xf numFmtId="0" fontId="38" fillId="0" borderId="0" xfId="0" applyFont="1"/>
    <xf numFmtId="0" fontId="26" fillId="0" borderId="9" xfId="0" applyFont="1" applyBorder="1"/>
    <xf numFmtId="0" fontId="26" fillId="0" borderId="10" xfId="0" applyFont="1" applyBorder="1"/>
    <xf numFmtId="9" fontId="26" fillId="0" borderId="11" xfId="0" applyNumberFormat="1" applyFont="1" applyBorder="1"/>
    <xf numFmtId="9" fontId="39" fillId="0" borderId="11" xfId="2" applyFont="1" applyBorder="1"/>
    <xf numFmtId="9" fontId="39" fillId="0" borderId="11" xfId="2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/>
    <xf numFmtId="9" fontId="26" fillId="0" borderId="0" xfId="0" applyNumberFormat="1" applyFont="1"/>
    <xf numFmtId="9" fontId="39" fillId="0" borderId="0" xfId="2" applyFont="1" applyBorder="1"/>
    <xf numFmtId="0" fontId="40" fillId="16" borderId="15" xfId="0" applyFont="1" applyFill="1" applyBorder="1"/>
    <xf numFmtId="0" fontId="38" fillId="16" borderId="15" xfId="0" applyFont="1" applyFill="1" applyBorder="1"/>
    <xf numFmtId="0" fontId="38" fillId="0" borderId="7" xfId="0" applyFont="1" applyBorder="1"/>
    <xf numFmtId="3" fontId="38" fillId="0" borderId="7" xfId="0" applyNumberFormat="1" applyFont="1" applyBorder="1"/>
    <xf numFmtId="0" fontId="41" fillId="0" borderId="7" xfId="0" applyFont="1" applyBorder="1"/>
    <xf numFmtId="9" fontId="42" fillId="14" borderId="7" xfId="2" applyFont="1" applyFill="1" applyBorder="1" applyAlignment="1">
      <alignment horizontal="center" vertical="center"/>
    </xf>
    <xf numFmtId="44" fontId="32" fillId="14" borderId="12" xfId="1" applyFont="1" applyFill="1" applyBorder="1" applyAlignment="1">
      <alignment vertical="center"/>
    </xf>
    <xf numFmtId="164" fontId="40" fillId="15" borderId="7" xfId="0" applyNumberFormat="1" applyFont="1" applyFill="1" applyBorder="1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1" fillId="12" borderId="5" xfId="0" applyFont="1" applyFill="1" applyBorder="1" applyAlignment="1">
      <alignment horizontal="center" vertical="center" wrapText="1"/>
    </xf>
    <xf numFmtId="0" fontId="21" fillId="12" borderId="4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6" fillId="0" borderId="2" xfId="3" applyFont="1" applyBorder="1"/>
    <xf numFmtId="0" fontId="6" fillId="0" borderId="1" xfId="3" applyFont="1" applyBorder="1"/>
    <xf numFmtId="0" fontId="8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 wrapText="1"/>
    </xf>
    <xf numFmtId="0" fontId="12" fillId="9" borderId="3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164" fontId="13" fillId="6" borderId="2" xfId="0" applyNumberFormat="1" applyFont="1" applyFill="1" applyBorder="1" applyAlignment="1">
      <alignment horizontal="center" vertical="center" wrapText="1"/>
    </xf>
    <xf numFmtId="164" fontId="15" fillId="5" borderId="2" xfId="0" applyNumberFormat="1" applyFont="1" applyFill="1" applyBorder="1" applyAlignment="1">
      <alignment horizontal="center" vertical="center" wrapText="1"/>
    </xf>
    <xf numFmtId="164" fontId="15" fillId="10" borderId="2" xfId="0" applyNumberFormat="1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 wrapText="1"/>
    </xf>
    <xf numFmtId="1" fontId="13" fillId="6" borderId="2" xfId="0" applyNumberFormat="1" applyFont="1" applyFill="1" applyBorder="1" applyAlignment="1">
      <alignment horizontal="center" vertical="center" wrapText="1"/>
    </xf>
    <xf numFmtId="3" fontId="15" fillId="5" borderId="2" xfId="0" applyNumberFormat="1" applyFont="1" applyFill="1" applyBorder="1" applyAlignment="1">
      <alignment horizontal="center" vertical="center" wrapText="1"/>
    </xf>
    <xf numFmtId="166" fontId="13" fillId="7" borderId="2" xfId="0" applyNumberFormat="1" applyFont="1" applyFill="1" applyBorder="1" applyAlignment="1">
      <alignment horizontal="center" vertical="center" wrapText="1"/>
    </xf>
    <xf numFmtId="167" fontId="13" fillId="6" borderId="2" xfId="0" applyNumberFormat="1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166" fontId="15" fillId="5" borderId="2" xfId="0" applyNumberFormat="1" applyFont="1" applyFill="1" applyBorder="1" applyAlignment="1">
      <alignment horizontal="center" vertical="center" wrapText="1"/>
    </xf>
    <xf numFmtId="3" fontId="15" fillId="10" borderId="2" xfId="0" applyNumberFormat="1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center" vertical="center"/>
    </xf>
    <xf numFmtId="3" fontId="18" fillId="5" borderId="2" xfId="0" applyNumberFormat="1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center" vertical="center" wrapText="1"/>
    </xf>
    <xf numFmtId="166" fontId="19" fillId="4" borderId="3" xfId="0" applyNumberFormat="1" applyFont="1" applyFill="1" applyBorder="1" applyAlignment="1">
      <alignment horizontal="center" vertical="center" wrapText="1"/>
    </xf>
    <xf numFmtId="164" fontId="19" fillId="9" borderId="3" xfId="0" applyNumberFormat="1" applyFont="1" applyFill="1" applyBorder="1" applyAlignment="1">
      <alignment horizontal="center" vertical="center" wrapText="1"/>
    </xf>
    <xf numFmtId="166" fontId="19" fillId="9" borderId="3" xfId="0" applyNumberFormat="1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28" fillId="13" borderId="12" xfId="0" applyFont="1" applyFill="1" applyBorder="1" applyAlignment="1">
      <alignment horizontal="center" vertical="center"/>
    </xf>
    <xf numFmtId="0" fontId="25" fillId="13" borderId="14" xfId="0" applyFont="1" applyFill="1" applyBorder="1" applyAlignment="1">
      <alignment horizontal="center" vertical="center"/>
    </xf>
    <xf numFmtId="0" fontId="25" fillId="13" borderId="13" xfId="0" applyFont="1" applyFill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30" fillId="14" borderId="12" xfId="0" applyFont="1" applyFill="1" applyBorder="1" applyAlignment="1">
      <alignment horizontal="center" vertical="center"/>
    </xf>
    <xf numFmtId="0" fontId="30" fillId="14" borderId="14" xfId="0" applyFont="1" applyFill="1" applyBorder="1" applyAlignment="1">
      <alignment horizontal="center" vertical="center"/>
    </xf>
    <xf numFmtId="0" fontId="30" fillId="14" borderId="13" xfId="0" applyFont="1" applyFill="1" applyBorder="1" applyAlignment="1">
      <alignment horizontal="center" vertical="center"/>
    </xf>
    <xf numFmtId="0" fontId="35" fillId="11" borderId="2" xfId="0" applyFont="1" applyFill="1" applyBorder="1" applyAlignment="1">
      <alignment horizontal="center" vertical="center" wrapText="1"/>
    </xf>
    <xf numFmtId="9" fontId="32" fillId="14" borderId="12" xfId="2" applyFont="1" applyFill="1" applyBorder="1" applyAlignment="1">
      <alignment horizontal="center" vertical="center"/>
    </xf>
    <xf numFmtId="9" fontId="32" fillId="14" borderId="14" xfId="2" applyFont="1" applyFill="1" applyBorder="1" applyAlignment="1">
      <alignment horizontal="center" vertical="center"/>
    </xf>
    <xf numFmtId="9" fontId="32" fillId="14" borderId="13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3" fontId="12" fillId="9" borderId="3" xfId="0" applyNumberFormat="1" applyFont="1" applyFill="1" applyBorder="1" applyAlignment="1">
      <alignment horizontal="center" vertical="center" wrapText="1"/>
    </xf>
    <xf numFmtId="165" fontId="19" fillId="9" borderId="3" xfId="0" applyNumberFormat="1" applyFont="1" applyFill="1" applyBorder="1" applyAlignment="1">
      <alignment horizontal="center" vertical="center" wrapText="1"/>
    </xf>
    <xf numFmtId="3" fontId="12" fillId="4" borderId="3" xfId="0" applyNumberFormat="1" applyFont="1" applyFill="1" applyBorder="1" applyAlignment="1">
      <alignment horizontal="center" vertical="center" wrapText="1"/>
    </xf>
    <xf numFmtId="165" fontId="19" fillId="4" borderId="3" xfId="0" applyNumberFormat="1" applyFont="1" applyFill="1" applyBorder="1" applyAlignment="1">
      <alignment horizontal="center" vertical="center" wrapText="1"/>
    </xf>
    <xf numFmtId="167" fontId="12" fillId="7" borderId="3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vertical="center" wrapText="1"/>
    </xf>
    <xf numFmtId="3" fontId="12" fillId="6" borderId="2" xfId="0" applyNumberFormat="1" applyFont="1" applyFill="1" applyBorder="1" applyAlignment="1">
      <alignment horizontal="center" vertical="center" wrapText="1"/>
    </xf>
    <xf numFmtId="165" fontId="12" fillId="6" borderId="2" xfId="0" applyNumberFormat="1" applyFont="1" applyFill="1" applyBorder="1" applyAlignment="1">
      <alignment horizontal="center" vertical="center" wrapText="1"/>
    </xf>
    <xf numFmtId="1" fontId="12" fillId="6" borderId="2" xfId="0" applyNumberFormat="1" applyFont="1" applyFill="1" applyBorder="1" applyAlignment="1">
      <alignment horizontal="center" vertical="center" wrapText="1"/>
    </xf>
    <xf numFmtId="164" fontId="12" fillId="7" borderId="3" xfId="0" applyNumberFormat="1" applyFont="1" applyFill="1" applyBorder="1" applyAlignment="1">
      <alignment horizontal="center" vertical="center" wrapText="1"/>
    </xf>
    <xf numFmtId="164" fontId="12" fillId="9" borderId="3" xfId="0" applyNumberFormat="1" applyFont="1" applyFill="1" applyBorder="1" applyAlignment="1">
      <alignment horizontal="center" vertical="center" wrapText="1"/>
    </xf>
    <xf numFmtId="167" fontId="12" fillId="9" borderId="3" xfId="0" applyNumberFormat="1" applyFont="1" applyFill="1" applyBorder="1" applyAlignment="1">
      <alignment horizontal="center" vertical="center" wrapText="1"/>
    </xf>
    <xf numFmtId="164" fontId="12" fillId="4" borderId="3" xfId="0" applyNumberFormat="1" applyFont="1" applyFill="1" applyBorder="1" applyAlignment="1">
      <alignment horizontal="center" vertical="center" wrapText="1"/>
    </xf>
    <xf numFmtId="167" fontId="12" fillId="4" borderId="3" xfId="0" applyNumberFormat="1" applyFont="1" applyFill="1" applyBorder="1" applyAlignment="1">
      <alignment horizontal="center" vertical="center" wrapText="1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1">
    <dxf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E51B2A"/>
      <rgbColor rgb="FF00FF00"/>
      <rgbColor rgb="FF0000FF"/>
      <rgbColor rgb="FFFFFF00"/>
      <rgbColor rgb="FFFF00FF"/>
      <rgbColor rgb="FF00FFFF"/>
      <rgbColor rgb="FFA50F1A"/>
      <rgbColor rgb="FF008000"/>
      <rgbColor rgb="FF000080"/>
      <rgbColor rgb="FF808000"/>
      <rgbColor rgb="FF800080"/>
      <rgbColor rgb="FF008080"/>
      <rgbColor rgb="FFB9BDC5"/>
      <rgbColor rgb="FF808080"/>
      <rgbColor rgb="FF9999FF"/>
      <rgbColor rgb="FF993366"/>
      <rgbColor rgb="FFFFF4CC"/>
      <rgbColor rgb="FFF1F2F4"/>
      <rgbColor rgb="FF660066"/>
      <rgbColor rgb="FFFF8080"/>
      <rgbColor rgb="FF0066CC"/>
      <rgbColor rgb="FFE3E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E699"/>
      <rgbColor rgb="FF99CCFF"/>
      <rgbColor rgb="FFFF99CC"/>
      <rgbColor rgb="FFCC99FF"/>
      <rgbColor rgb="FFFCE4E6"/>
      <rgbColor rgb="FF3366FF"/>
      <rgbColor rgb="FF33CCCC"/>
      <rgbColor rgb="FF99CC00"/>
      <rgbColor rgb="FFFFCC00"/>
      <rgbColor rgb="FFFF9900"/>
      <rgbColor rgb="FFFF6600"/>
      <rgbColor rgb="FF5F6368"/>
      <rgbColor rgb="FF969696"/>
      <rgbColor rgb="FF003366"/>
      <rgbColor rgb="FF339966"/>
      <rgbColor rgb="FF0B0B0D"/>
      <rgbColor rgb="FF333300"/>
      <rgbColor rgb="FF993300"/>
      <rgbColor rgb="FF993366"/>
      <rgbColor rgb="FF333399"/>
      <rgbColor rgb="FF22232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</xdr:row>
      <xdr:rowOff>77932</xdr:rowOff>
    </xdr:from>
    <xdr:to>
      <xdr:col>3</xdr:col>
      <xdr:colOff>848590</xdr:colOff>
      <xdr:row>11</xdr:row>
      <xdr:rowOff>181842</xdr:rowOff>
    </xdr:to>
    <xdr:sp macro="" textlink="">
      <xdr:nvSpPr>
        <xdr:cNvPr id="2" name="Flecha: a la derecha 1">
          <a:extLst>
            <a:ext uri="{FF2B5EF4-FFF2-40B4-BE49-F238E27FC236}">
              <a16:creationId xmlns:a16="http://schemas.microsoft.com/office/drawing/2014/main" id="{1B8C3F95-C9B0-621F-A411-A640EEA72868}"/>
            </a:ext>
          </a:extLst>
        </xdr:cNvPr>
        <xdr:cNvSpPr/>
      </xdr:nvSpPr>
      <xdr:spPr>
        <a:xfrm rot="5400000">
          <a:off x="2463510" y="3164899"/>
          <a:ext cx="372341" cy="398318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11</xdr:col>
      <xdr:colOff>299606</xdr:colOff>
      <xdr:row>10</xdr:row>
      <xdr:rowOff>65810</xdr:rowOff>
    </xdr:from>
    <xdr:to>
      <xdr:col>11</xdr:col>
      <xdr:colOff>697924</xdr:colOff>
      <xdr:row>11</xdr:row>
      <xdr:rowOff>169720</xdr:rowOff>
    </xdr:to>
    <xdr:sp macro="" textlink="">
      <xdr:nvSpPr>
        <xdr:cNvPr id="3" name="Flecha: a la derecha 2">
          <a:extLst>
            <a:ext uri="{FF2B5EF4-FFF2-40B4-BE49-F238E27FC236}">
              <a16:creationId xmlns:a16="http://schemas.microsoft.com/office/drawing/2014/main" id="{BA890789-026E-442F-96F1-D4FDDD443E64}"/>
            </a:ext>
          </a:extLst>
        </xdr:cNvPr>
        <xdr:cNvSpPr/>
      </xdr:nvSpPr>
      <xdr:spPr>
        <a:xfrm rot="5400000">
          <a:off x="8504094" y="3152777"/>
          <a:ext cx="372341" cy="398318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728229</xdr:colOff>
      <xdr:row>29</xdr:row>
      <xdr:rowOff>208689</xdr:rowOff>
    </xdr:from>
    <xdr:to>
      <xdr:col>6</xdr:col>
      <xdr:colOff>104774</xdr:colOff>
      <xdr:row>31</xdr:row>
      <xdr:rowOff>70143</xdr:rowOff>
    </xdr:to>
    <xdr:sp macro="" textlink="">
      <xdr:nvSpPr>
        <xdr:cNvPr id="4" name="Flecha: a la derecha 3">
          <a:extLst>
            <a:ext uri="{FF2B5EF4-FFF2-40B4-BE49-F238E27FC236}">
              <a16:creationId xmlns:a16="http://schemas.microsoft.com/office/drawing/2014/main" id="{6B14AC15-278E-46C2-8750-75C8A4B68E58}"/>
            </a:ext>
          </a:extLst>
        </xdr:cNvPr>
        <xdr:cNvSpPr/>
      </xdr:nvSpPr>
      <xdr:spPr>
        <a:xfrm>
          <a:off x="3594388" y="8408848"/>
          <a:ext cx="372341" cy="398318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11</xdr:col>
      <xdr:colOff>716107</xdr:colOff>
      <xdr:row>29</xdr:row>
      <xdr:rowOff>196566</xdr:rowOff>
    </xdr:from>
    <xdr:to>
      <xdr:col>12</xdr:col>
      <xdr:colOff>222539</xdr:colOff>
      <xdr:row>31</xdr:row>
      <xdr:rowOff>58020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B3BC7FA6-40FB-4E53-B0DA-5C9CFB251347}"/>
            </a:ext>
          </a:extLst>
        </xdr:cNvPr>
        <xdr:cNvSpPr/>
      </xdr:nvSpPr>
      <xdr:spPr>
        <a:xfrm>
          <a:off x="8907607" y="8396725"/>
          <a:ext cx="372341" cy="398318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</xdr:colOff>
      <xdr:row>1</xdr:row>
      <xdr:rowOff>11206</xdr:rowOff>
    </xdr:from>
    <xdr:to>
      <xdr:col>2</xdr:col>
      <xdr:colOff>100852</xdr:colOff>
      <xdr:row>4</xdr:row>
      <xdr:rowOff>56029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4ECC14D-48B0-E887-3410-1B802CECF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" y="280147"/>
          <a:ext cx="1221441" cy="12214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11</xdr:row>
      <xdr:rowOff>0</xdr:rowOff>
    </xdr:from>
    <xdr:to>
      <xdr:col>20</xdr:col>
      <xdr:colOff>59391</xdr:colOff>
      <xdr:row>15</xdr:row>
      <xdr:rowOff>154641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A278B-6FA6-4FD3-91B4-47F95C11E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2450" y="3362325"/>
          <a:ext cx="1221441" cy="122144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0</xdr:row>
      <xdr:rowOff>0</xdr:rowOff>
    </xdr:from>
    <xdr:to>
      <xdr:col>2</xdr:col>
      <xdr:colOff>76201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D91C0A-EF33-4D03-8214-B2CB30D2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0"/>
          <a:ext cx="1181100" cy="1181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280147</xdr:colOff>
      <xdr:row>22</xdr:row>
      <xdr:rowOff>257735</xdr:rowOff>
    </xdr:from>
    <xdr:to>
      <xdr:col>22</xdr:col>
      <xdr:colOff>33618</xdr:colOff>
      <xdr:row>24</xdr:row>
      <xdr:rowOff>212912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D65E19A-E562-EBE2-0695-449F166BD944}"/>
            </a:ext>
          </a:extLst>
        </xdr:cNvPr>
        <xdr:cNvSpPr txBox="1"/>
      </xdr:nvSpPr>
      <xdr:spPr>
        <a:xfrm>
          <a:off x="13066059" y="6589059"/>
          <a:ext cx="2667000" cy="4930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i="1"/>
            <a:t>PASA EL RATÓN</a:t>
          </a:r>
          <a:r>
            <a:rPr lang="es-ES" sz="1100" b="1" i="1" baseline="0"/>
            <a:t> POR ENCIMA PARA VER INSTRUCCIONES DE ESTE APARTADO</a:t>
          </a:r>
          <a:endParaRPr lang="es-ES" sz="1100" b="1" i="1"/>
        </a:p>
      </xdr:txBody>
    </xdr:sp>
    <xdr:clientData/>
  </xdr:twoCellAnchor>
  <xdr:twoCellAnchor>
    <xdr:from>
      <xdr:col>15</xdr:col>
      <xdr:colOff>112059</xdr:colOff>
      <xdr:row>20</xdr:row>
      <xdr:rowOff>190500</xdr:rowOff>
    </xdr:from>
    <xdr:to>
      <xdr:col>17</xdr:col>
      <xdr:colOff>280147</xdr:colOff>
      <xdr:row>23</xdr:row>
      <xdr:rowOff>235324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1087FB65-8664-8D11-5FA0-BC859A531DAF}"/>
            </a:ext>
          </a:extLst>
        </xdr:cNvPr>
        <xdr:cNvCxnSpPr>
          <a:stCxn id="3" idx="1"/>
        </xdr:cNvCxnSpPr>
      </xdr:nvCxnSpPr>
      <xdr:spPr>
        <a:xfrm flipH="1" flipV="1">
          <a:off x="11732559" y="5983941"/>
          <a:ext cx="1333500" cy="851648"/>
        </a:xfrm>
        <a:prstGeom prst="straightConnector1">
          <a:avLst/>
        </a:prstGeom>
        <a:ln w="603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44825</xdr:colOff>
      <xdr:row>1</xdr:row>
      <xdr:rowOff>1</xdr:rowOff>
    </xdr:from>
    <xdr:to>
      <xdr:col>2</xdr:col>
      <xdr:colOff>67237</xdr:colOff>
      <xdr:row>3</xdr:row>
      <xdr:rowOff>324972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5BD743E-9C9F-45F6-B6D2-AA988FA65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6" y="268942"/>
          <a:ext cx="1154206" cy="11542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246062</xdr:colOff>
      <xdr:row>1</xdr:row>
      <xdr:rowOff>7937</xdr:rowOff>
    </xdr:from>
    <xdr:to>
      <xdr:col>2</xdr:col>
      <xdr:colOff>332441</xdr:colOff>
      <xdr:row>3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A184EE-8777-45CB-980C-2594F2A7A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77812"/>
          <a:ext cx="1221441" cy="1166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51B2A"/>
    <pageSetUpPr fitToPage="1"/>
  </sheetPr>
  <dimension ref="B1:O44"/>
  <sheetViews>
    <sheetView showGridLines="0" zoomScale="110" zoomScaleNormal="110" workbookViewId="0">
      <selection activeCell="S10" sqref="S10"/>
    </sheetView>
  </sheetViews>
  <sheetFormatPr baseColWidth="10" defaultColWidth="8.7109375" defaultRowHeight="15" x14ac:dyDescent="0.25"/>
  <cols>
    <col min="1" max="1" width="2" customWidth="1"/>
    <col min="2" max="2" width="17" customWidth="1"/>
    <col min="3" max="3" width="11" customWidth="1"/>
    <col min="4" max="5" width="13" customWidth="1"/>
    <col min="6" max="6" width="2" customWidth="1"/>
    <col min="7" max="15" width="13" customWidth="1"/>
  </cols>
  <sheetData>
    <row r="1" spans="2:15" ht="21" customHeight="1" x14ac:dyDescent="0.25"/>
    <row r="2" spans="2:15" ht="33" customHeight="1" x14ac:dyDescent="0.25">
      <c r="B2" s="38" t="s">
        <v>217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33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7" customHeight="1" x14ac:dyDescent="0.25">
      <c r="B4" s="39" t="s">
        <v>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5" ht="24.75" customHeight="1" x14ac:dyDescent="0.25">
      <c r="B5" s="40" t="s">
        <v>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5" ht="21" customHeight="1" x14ac:dyDescent="0.25"/>
    <row r="7" spans="2:15" ht="21" customHeight="1" x14ac:dyDescent="0.25">
      <c r="B7" s="41" t="s">
        <v>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ht="21" customHeight="1" x14ac:dyDescent="0.25"/>
    <row r="9" spans="2:15" ht="21" customHeight="1" x14ac:dyDescent="0.25">
      <c r="B9" s="48" t="s">
        <v>3</v>
      </c>
      <c r="C9" s="48"/>
      <c r="D9" s="48"/>
      <c r="E9" s="48"/>
      <c r="F9" s="48"/>
      <c r="G9" s="48"/>
      <c r="H9" s="48"/>
      <c r="I9" s="49" t="s">
        <v>4</v>
      </c>
      <c r="J9" s="49"/>
      <c r="K9" s="49"/>
      <c r="L9" s="49"/>
      <c r="M9" s="49"/>
      <c r="N9" s="49"/>
      <c r="O9" s="49"/>
    </row>
    <row r="10" spans="2:15" ht="21" customHeight="1" thickBot="1" x14ac:dyDescent="0.3">
      <c r="B10" s="48"/>
      <c r="C10" s="48"/>
      <c r="D10" s="48"/>
      <c r="E10" s="48"/>
      <c r="F10" s="48"/>
      <c r="G10" s="48"/>
      <c r="H10" s="48"/>
      <c r="I10" s="49"/>
      <c r="J10" s="49"/>
      <c r="K10" s="49"/>
      <c r="L10" s="49"/>
      <c r="M10" s="49"/>
      <c r="N10" s="49"/>
      <c r="O10" s="49"/>
    </row>
    <row r="11" spans="2:15" ht="21" customHeight="1" thickBot="1" x14ac:dyDescent="0.3">
      <c r="B11" s="48"/>
      <c r="C11" s="48"/>
      <c r="D11" s="48"/>
      <c r="E11" s="48"/>
      <c r="F11" s="48"/>
      <c r="G11" s="48"/>
      <c r="H11" s="48"/>
      <c r="I11" s="50"/>
      <c r="J11" s="50"/>
      <c r="K11" s="50"/>
      <c r="L11" s="50"/>
      <c r="M11" s="50"/>
      <c r="N11" s="50"/>
      <c r="O11" s="50"/>
    </row>
    <row r="12" spans="2:15" ht="21" customHeight="1" x14ac:dyDescent="0.25">
      <c r="B12" s="51" t="s">
        <v>5</v>
      </c>
      <c r="C12" s="51"/>
      <c r="D12" s="51"/>
      <c r="E12" s="51"/>
      <c r="F12" s="51"/>
      <c r="G12" s="51"/>
      <c r="H12" s="52"/>
      <c r="I12" s="55" t="s">
        <v>6</v>
      </c>
      <c r="J12" s="55"/>
      <c r="K12" s="55"/>
      <c r="L12" s="55"/>
      <c r="M12" s="55"/>
      <c r="N12" s="55"/>
      <c r="O12" s="55"/>
    </row>
    <row r="13" spans="2:15" ht="21" customHeight="1" x14ac:dyDescent="0.25">
      <c r="B13" s="53"/>
      <c r="C13" s="53"/>
      <c r="D13" s="53"/>
      <c r="E13" s="53"/>
      <c r="F13" s="53"/>
      <c r="G13" s="53"/>
      <c r="H13" s="54"/>
      <c r="I13" s="55"/>
      <c r="J13" s="55"/>
      <c r="K13" s="55"/>
      <c r="L13" s="55"/>
      <c r="M13" s="55"/>
      <c r="N13" s="55"/>
      <c r="O13" s="55"/>
    </row>
    <row r="14" spans="2:15" ht="21" customHeight="1" x14ac:dyDescent="0.25">
      <c r="B14" s="53"/>
      <c r="C14" s="53"/>
      <c r="D14" s="53"/>
      <c r="E14" s="53"/>
      <c r="F14" s="53"/>
      <c r="G14" s="53"/>
      <c r="H14" s="54"/>
      <c r="I14" s="55"/>
      <c r="J14" s="55"/>
      <c r="K14" s="55"/>
      <c r="L14" s="55"/>
      <c r="M14" s="55"/>
      <c r="N14" s="55"/>
      <c r="O14" s="55"/>
    </row>
    <row r="15" spans="2:15" ht="21" customHeight="1" x14ac:dyDescent="0.25">
      <c r="B15" s="53"/>
      <c r="C15" s="53"/>
      <c r="D15" s="53"/>
      <c r="E15" s="53"/>
      <c r="F15" s="53"/>
      <c r="G15" s="53"/>
      <c r="H15" s="54"/>
      <c r="I15" s="55"/>
      <c r="J15" s="55"/>
      <c r="K15" s="55"/>
      <c r="L15" s="55"/>
      <c r="M15" s="55"/>
      <c r="N15" s="55"/>
      <c r="O15" s="55"/>
    </row>
    <row r="16" spans="2:15" ht="21" customHeight="1" thickBot="1" x14ac:dyDescent="0.3">
      <c r="B16" s="56" t="s">
        <v>7</v>
      </c>
      <c r="C16" s="56"/>
      <c r="D16" s="56"/>
      <c r="E16" s="56"/>
      <c r="F16" s="56"/>
      <c r="G16" s="56"/>
      <c r="H16" s="56"/>
      <c r="I16" s="57" t="s">
        <v>8</v>
      </c>
      <c r="J16" s="57"/>
      <c r="K16" s="57"/>
      <c r="L16" s="57"/>
      <c r="M16" s="57"/>
      <c r="N16" s="57"/>
      <c r="O16" s="57"/>
    </row>
    <row r="17" spans="2:15" ht="21" customHeight="1" x14ac:dyDescent="0.25">
      <c r="B17" s="56"/>
      <c r="C17" s="56"/>
      <c r="D17" s="56"/>
      <c r="E17" s="56"/>
      <c r="F17" s="56"/>
      <c r="G17" s="56"/>
      <c r="H17" s="56"/>
      <c r="I17" s="57"/>
      <c r="J17" s="57"/>
      <c r="K17" s="57"/>
      <c r="L17" s="57"/>
      <c r="M17" s="57"/>
      <c r="N17" s="57"/>
      <c r="O17" s="57"/>
    </row>
    <row r="18" spans="2:15" ht="21" customHeight="1" x14ac:dyDescent="0.25"/>
    <row r="19" spans="2:15" ht="21" customHeight="1" x14ac:dyDescent="0.25"/>
    <row r="20" spans="2:15" ht="21" customHeight="1" thickBot="1" x14ac:dyDescent="0.3">
      <c r="B20" s="41" t="s">
        <v>9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2:15" ht="21" customHeight="1" x14ac:dyDescent="0.25"/>
    <row r="22" spans="2:15" ht="21" customHeight="1" thickBot="1" x14ac:dyDescent="0.45">
      <c r="B22" s="58" t="s">
        <v>10</v>
      </c>
      <c r="C22" s="58"/>
      <c r="D22" s="58"/>
      <c r="E22" s="58" t="s">
        <v>11</v>
      </c>
      <c r="F22" s="58"/>
      <c r="G22" s="58"/>
      <c r="H22" s="58" t="s">
        <v>12</v>
      </c>
      <c r="I22" s="58"/>
      <c r="J22" s="58"/>
      <c r="K22" s="58"/>
      <c r="L22" s="58" t="s">
        <v>13</v>
      </c>
      <c r="M22" s="58"/>
      <c r="N22" s="58"/>
      <c r="O22" s="58"/>
    </row>
    <row r="23" spans="2:15" ht="21" customHeight="1" thickBot="1" x14ac:dyDescent="0.3">
      <c r="B23" s="59" t="s">
        <v>14</v>
      </c>
      <c r="C23" s="59"/>
      <c r="D23" s="59"/>
      <c r="E23" s="59" t="s">
        <v>15</v>
      </c>
      <c r="F23" s="59"/>
      <c r="G23" s="59"/>
      <c r="H23" s="59" t="s">
        <v>16</v>
      </c>
      <c r="I23" s="59"/>
      <c r="J23" s="59"/>
      <c r="K23" s="59"/>
      <c r="L23" s="59" t="s">
        <v>17</v>
      </c>
      <c r="M23" s="59"/>
      <c r="N23" s="59"/>
      <c r="O23" s="59"/>
    </row>
    <row r="24" spans="2:15" ht="21" customHeight="1" x14ac:dyDescent="0.25">
      <c r="B24" s="60" t="s">
        <v>18</v>
      </c>
      <c r="C24" s="60"/>
      <c r="D24" s="60"/>
      <c r="E24" s="60" t="s">
        <v>19</v>
      </c>
      <c r="F24" s="60"/>
      <c r="G24" s="60"/>
      <c r="H24" s="60" t="s">
        <v>20</v>
      </c>
      <c r="I24" s="60"/>
      <c r="J24" s="60"/>
      <c r="K24" s="60"/>
      <c r="L24" s="60" t="s">
        <v>21</v>
      </c>
      <c r="M24" s="60"/>
      <c r="N24" s="60"/>
      <c r="O24" s="60"/>
    </row>
    <row r="25" spans="2:15" ht="21" customHeight="1" x14ac:dyDescent="0.25"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</row>
    <row r="26" spans="2:15" ht="21" customHeight="1" x14ac:dyDescent="0.25"/>
    <row r="27" spans="2:15" ht="21" customHeight="1" x14ac:dyDescent="0.25"/>
    <row r="28" spans="2:15" ht="21" customHeight="1" x14ac:dyDescent="0.25">
      <c r="B28" s="41" t="s">
        <v>22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</row>
    <row r="29" spans="2:15" ht="21" customHeight="1" x14ac:dyDescent="0.25"/>
    <row r="30" spans="2:15" ht="21" customHeight="1" x14ac:dyDescent="0.25">
      <c r="B30" s="62" t="s">
        <v>23</v>
      </c>
      <c r="C30" s="62"/>
      <c r="D30" s="62"/>
      <c r="E30" s="62"/>
      <c r="F30" s="63" t="s">
        <v>24</v>
      </c>
      <c r="G30" s="63"/>
      <c r="H30" s="63"/>
      <c r="I30" s="63"/>
      <c r="J30" s="64" t="s">
        <v>25</v>
      </c>
      <c r="K30" s="64"/>
      <c r="L30" s="64"/>
      <c r="M30" s="63" t="s">
        <v>26</v>
      </c>
      <c r="N30" s="63"/>
      <c r="O30" s="63"/>
    </row>
    <row r="31" spans="2:15" ht="21" customHeight="1" x14ac:dyDescent="0.25">
      <c r="B31" s="62"/>
      <c r="C31" s="62"/>
      <c r="D31" s="62"/>
      <c r="E31" s="62"/>
      <c r="F31" s="63"/>
      <c r="G31" s="63"/>
      <c r="H31" s="63"/>
      <c r="I31" s="63"/>
      <c r="J31" s="64"/>
      <c r="K31" s="64"/>
      <c r="L31" s="64"/>
      <c r="M31" s="63"/>
      <c r="N31" s="63"/>
      <c r="O31" s="63"/>
    </row>
    <row r="32" spans="2:15" ht="21" customHeight="1" x14ac:dyDescent="0.25">
      <c r="B32" s="62"/>
      <c r="C32" s="62"/>
      <c r="D32" s="62"/>
      <c r="E32" s="62"/>
      <c r="F32" s="63"/>
      <c r="G32" s="63"/>
      <c r="H32" s="63"/>
      <c r="I32" s="63"/>
      <c r="J32" s="64"/>
      <c r="K32" s="64"/>
      <c r="L32" s="64"/>
      <c r="M32" s="63"/>
      <c r="N32" s="63"/>
      <c r="O32" s="63"/>
    </row>
    <row r="33" spans="2:15" ht="21" customHeight="1" x14ac:dyDescent="0.25"/>
    <row r="34" spans="2:15" ht="21" customHeight="1" x14ac:dyDescent="0.25"/>
    <row r="35" spans="2:15" ht="21" customHeight="1" x14ac:dyDescent="0.25">
      <c r="B35" s="65" t="s">
        <v>27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2:15" ht="21" customHeight="1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  <row r="37" spans="2:15" ht="21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</row>
    <row r="38" spans="2:15" ht="21" customHeight="1" x14ac:dyDescent="0.25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</row>
    <row r="39" spans="2:15" ht="21" customHeight="1" x14ac:dyDescent="0.25"/>
    <row r="40" spans="2:15" ht="21" customHeight="1" x14ac:dyDescent="0.25"/>
    <row r="41" spans="2:15" ht="21" customHeight="1" x14ac:dyDescent="0.25">
      <c r="B41" s="61" t="s">
        <v>28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</row>
    <row r="42" spans="2:15" ht="21" customHeight="1" x14ac:dyDescent="0.25"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2:15" ht="21" customHeight="1" x14ac:dyDescent="0.25"/>
    <row r="44" spans="2:15" ht="21" customHeight="1" x14ac:dyDescent="0.25"/>
  </sheetData>
  <mergeCells count="30">
    <mergeCell ref="B41:O42"/>
    <mergeCell ref="B30:E32"/>
    <mergeCell ref="F30:I32"/>
    <mergeCell ref="J30:L32"/>
    <mergeCell ref="M30:O32"/>
    <mergeCell ref="B35:O38"/>
    <mergeCell ref="B24:D25"/>
    <mergeCell ref="E24:G25"/>
    <mergeCell ref="H24:K25"/>
    <mergeCell ref="L24:O25"/>
    <mergeCell ref="B28:O28"/>
    <mergeCell ref="B22:D22"/>
    <mergeCell ref="E22:G22"/>
    <mergeCell ref="H22:K22"/>
    <mergeCell ref="L22:O22"/>
    <mergeCell ref="B23:D23"/>
    <mergeCell ref="E23:G23"/>
    <mergeCell ref="H23:K23"/>
    <mergeCell ref="L23:O23"/>
    <mergeCell ref="B12:H15"/>
    <mergeCell ref="I12:O15"/>
    <mergeCell ref="B16:H17"/>
    <mergeCell ref="I16:O17"/>
    <mergeCell ref="B20:O20"/>
    <mergeCell ref="B2:O3"/>
    <mergeCell ref="B4:O4"/>
    <mergeCell ref="B5:O5"/>
    <mergeCell ref="B7:O7"/>
    <mergeCell ref="B9:H11"/>
    <mergeCell ref="I9:O11"/>
  </mergeCells>
  <hyperlinks>
    <hyperlink ref="B16" location="'VENTA%20DIRECTA'!A1" xr:uid="{00000000-0004-0000-0000-000000000000}"/>
    <hyperlink ref="I16" location="'VENTA%20CON%20CIERRE'!A1" xr:uid="{00000000-0004-0000-0000-000001000000}"/>
  </hyperlinks>
  <printOptions horizontalCentered="1"/>
  <pageMargins left="0.75" right="0.75" top="1" bottom="1" header="0.511811023622047" footer="0.5"/>
  <pageSetup paperSize="9" orientation="landscape" horizontalDpi="300" verticalDpi="300"/>
  <headerFooter>
    <oddFooter>&amp;C&amp;8 Rafael Bonilla 10+ · Método All In One&amp;R&amp;8 Página &amp;P de &amp;N</oddFooter>
  </headerFooter>
  <ignoredErrors>
    <ignoredError sqref="E22:G22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51B2A"/>
    <pageSetUpPr fitToPage="1"/>
  </sheetPr>
  <dimension ref="B1:O64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O3"/>
    </sheetView>
  </sheetViews>
  <sheetFormatPr baseColWidth="10" defaultColWidth="8.7109375" defaultRowHeight="15" x14ac:dyDescent="0.25"/>
  <cols>
    <col min="1" max="1" width="2" customWidth="1"/>
    <col min="2" max="2" width="17" customWidth="1"/>
    <col min="3" max="3" width="14.42578125" customWidth="1"/>
    <col min="4" max="5" width="13" customWidth="1"/>
    <col min="6" max="6" width="2" customWidth="1"/>
    <col min="7" max="11" width="13" customWidth="1"/>
    <col min="12" max="12" width="21.85546875" bestFit="1" customWidth="1"/>
    <col min="13" max="15" width="13" customWidth="1"/>
  </cols>
  <sheetData>
    <row r="1" spans="2:15" ht="21" customHeight="1" x14ac:dyDescent="0.25"/>
    <row r="2" spans="2:15" ht="33" customHeight="1" x14ac:dyDescent="0.25">
      <c r="B2" s="66" t="s">
        <v>219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33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7" customHeight="1" x14ac:dyDescent="0.25">
      <c r="B4" s="39" t="s">
        <v>29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5" ht="24.75" customHeight="1" x14ac:dyDescent="0.25">
      <c r="B5" s="40" t="s">
        <v>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5" ht="21" customHeight="1" x14ac:dyDescent="0.25"/>
    <row r="7" spans="2:15" ht="21" customHeight="1" x14ac:dyDescent="0.25">
      <c r="B7" s="41" t="s">
        <v>30</v>
      </c>
      <c r="C7" s="41"/>
      <c r="D7" s="41"/>
      <c r="E7" s="41"/>
      <c r="G7" s="41" t="s">
        <v>31</v>
      </c>
      <c r="H7" s="41"/>
      <c r="I7" s="41"/>
      <c r="J7" s="41"/>
      <c r="K7" s="41"/>
      <c r="L7" s="41"/>
      <c r="M7" s="41"/>
      <c r="N7" s="41"/>
      <c r="O7" s="41"/>
    </row>
    <row r="8" spans="2:15" ht="21" customHeight="1" x14ac:dyDescent="0.25">
      <c r="B8" s="67" t="s">
        <v>32</v>
      </c>
      <c r="C8" s="67"/>
      <c r="D8" s="68" t="s">
        <v>33</v>
      </c>
      <c r="E8" s="68"/>
      <c r="G8" s="69" t="s">
        <v>34</v>
      </c>
      <c r="H8" s="69"/>
      <c r="I8" s="69"/>
      <c r="J8" s="69" t="s">
        <v>35</v>
      </c>
      <c r="K8" s="69"/>
      <c r="L8" s="69"/>
      <c r="M8" s="70" t="s">
        <v>36</v>
      </c>
      <c r="N8" s="70"/>
      <c r="O8" s="70"/>
    </row>
    <row r="9" spans="2:15" ht="21" customHeight="1" x14ac:dyDescent="0.25">
      <c r="B9" s="67" t="s">
        <v>37</v>
      </c>
      <c r="C9" s="67"/>
      <c r="D9" s="71">
        <v>1000000</v>
      </c>
      <c r="E9" s="71"/>
      <c r="G9" s="72">
        <f>IFERROR($D$9,0)</f>
        <v>1000000</v>
      </c>
      <c r="H9" s="72"/>
      <c r="I9" s="72"/>
      <c r="J9" s="72">
        <f>IFERROR($D$10,0)</f>
        <v>700000</v>
      </c>
      <c r="K9" s="72"/>
      <c r="L9" s="72"/>
      <c r="M9" s="73">
        <f>IFERROR(MAX($D$9-$D$10,0),0)</f>
        <v>300000</v>
      </c>
      <c r="N9" s="73"/>
      <c r="O9" s="73"/>
    </row>
    <row r="10" spans="2:15" ht="21" customHeight="1" x14ac:dyDescent="0.25">
      <c r="B10" s="67" t="s">
        <v>38</v>
      </c>
      <c r="C10" s="67"/>
      <c r="D10" s="71">
        <v>700000</v>
      </c>
      <c r="E10" s="71"/>
      <c r="G10" s="72"/>
      <c r="H10" s="72"/>
      <c r="I10" s="72"/>
      <c r="J10" s="72"/>
      <c r="K10" s="72"/>
      <c r="L10" s="72"/>
      <c r="M10" s="73"/>
      <c r="N10" s="73"/>
      <c r="O10" s="73"/>
    </row>
    <row r="11" spans="2:15" ht="21" customHeight="1" x14ac:dyDescent="0.25">
      <c r="B11" s="67" t="s">
        <v>39</v>
      </c>
      <c r="C11" s="67"/>
      <c r="D11" s="74">
        <v>40</v>
      </c>
      <c r="E11" s="74"/>
    </row>
    <row r="12" spans="2:15" ht="21" customHeight="1" x14ac:dyDescent="0.25">
      <c r="B12" s="67" t="s">
        <v>40</v>
      </c>
      <c r="C12" s="67"/>
      <c r="D12" s="75">
        <v>10</v>
      </c>
      <c r="E12" s="75"/>
      <c r="G12" s="69" t="s">
        <v>41</v>
      </c>
      <c r="H12" s="69"/>
      <c r="I12" s="69"/>
      <c r="J12" s="69" t="s">
        <v>42</v>
      </c>
      <c r="K12" s="69"/>
      <c r="L12" s="69"/>
      <c r="M12" s="69" t="s">
        <v>43</v>
      </c>
      <c r="N12" s="69"/>
      <c r="O12" s="69"/>
    </row>
    <row r="13" spans="2:15" ht="21" customHeight="1" x14ac:dyDescent="0.25">
      <c r="B13" s="67" t="s">
        <v>44</v>
      </c>
      <c r="C13" s="67"/>
      <c r="D13" s="75">
        <v>6</v>
      </c>
      <c r="E13" s="75"/>
      <c r="G13" s="76">
        <f>IFERROR(ROUNDUP($D$9/$D$11,0),0)</f>
        <v>25000</v>
      </c>
      <c r="H13" s="76"/>
      <c r="I13" s="76"/>
      <c r="J13" s="76">
        <f>IFERROR(ROUNDUP((ROUNDUP($D$9/$D$11,0))/$D$17,0),0)</f>
        <v>25000</v>
      </c>
      <c r="K13" s="76"/>
      <c r="L13" s="76"/>
      <c r="M13" s="76">
        <f>IFERROR(ROUNDUP((ROUNDUP((ROUNDUP($D$9/$D$11,0))/$D$17,0))/$D$16,0),0)</f>
        <v>500000</v>
      </c>
      <c r="N13" s="76"/>
      <c r="O13" s="76"/>
    </row>
    <row r="14" spans="2:15" ht="21" customHeight="1" x14ac:dyDescent="0.25">
      <c r="B14" s="67" t="s">
        <v>45</v>
      </c>
      <c r="C14" s="67"/>
      <c r="D14" s="77">
        <f>$D$12*52/12</f>
        <v>43.333333333333336</v>
      </c>
      <c r="E14" s="77"/>
      <c r="G14" s="76"/>
      <c r="H14" s="76"/>
      <c r="I14" s="76"/>
      <c r="J14" s="76"/>
      <c r="K14" s="76"/>
      <c r="L14" s="76"/>
      <c r="M14" s="76"/>
      <c r="N14" s="76"/>
      <c r="O14" s="76"/>
    </row>
    <row r="15" spans="2:15" ht="21" customHeight="1" x14ac:dyDescent="0.25">
      <c r="B15" s="67" t="s">
        <v>46</v>
      </c>
      <c r="C15" s="67"/>
      <c r="D15" s="77">
        <f>$D$14*$D$13</f>
        <v>260</v>
      </c>
      <c r="E15" s="77"/>
    </row>
    <row r="16" spans="2:15" ht="21" customHeight="1" x14ac:dyDescent="0.25">
      <c r="B16" s="67" t="s">
        <v>47</v>
      </c>
      <c r="C16" s="67"/>
      <c r="D16" s="78">
        <v>0.05</v>
      </c>
      <c r="E16" s="78"/>
      <c r="G16" s="69" t="s">
        <v>48</v>
      </c>
      <c r="H16" s="69"/>
      <c r="I16" s="69"/>
      <c r="J16" s="69" t="s">
        <v>49</v>
      </c>
      <c r="K16" s="69"/>
      <c r="L16" s="69"/>
      <c r="M16" s="79" t="s">
        <v>175</v>
      </c>
      <c r="N16" s="70"/>
      <c r="O16" s="70"/>
    </row>
    <row r="17" spans="2:15" ht="21" customHeight="1" x14ac:dyDescent="0.25">
      <c r="B17" s="67" t="s">
        <v>50</v>
      </c>
      <c r="C17" s="67"/>
      <c r="D17" s="78">
        <v>1</v>
      </c>
      <c r="E17" s="78"/>
      <c r="G17" s="72">
        <f>IFERROR($D$9/$D$15,0)</f>
        <v>3846.1538461538462</v>
      </c>
      <c r="H17" s="72"/>
      <c r="I17" s="72"/>
      <c r="J17" s="80">
        <f>IFERROR((ROUNDUP($D$9/$D$11,0))/$D$15,0)</f>
        <v>96.15384615384616</v>
      </c>
      <c r="K17" s="80"/>
      <c r="L17" s="80"/>
      <c r="M17" s="81">
        <f>IFERROR(ROUNDUP((MAX($D$9-$D$10,0))/$D$11,0),0)</f>
        <v>7500</v>
      </c>
      <c r="N17" s="81"/>
      <c r="O17" s="81"/>
    </row>
    <row r="18" spans="2:15" ht="21" customHeight="1" x14ac:dyDescent="0.25">
      <c r="B18" s="82" t="s">
        <v>51</v>
      </c>
      <c r="C18" s="82"/>
      <c r="D18" s="82"/>
      <c r="E18" s="82"/>
      <c r="G18" s="72"/>
      <c r="H18" s="72"/>
      <c r="I18" s="72"/>
      <c r="J18" s="80"/>
      <c r="K18" s="80"/>
      <c r="L18" s="80"/>
      <c r="M18" s="81"/>
      <c r="N18" s="81"/>
      <c r="O18" s="81"/>
    </row>
    <row r="19" spans="2:15" ht="21" customHeight="1" x14ac:dyDescent="0.25"/>
    <row r="20" spans="2:15" ht="21" customHeight="1" x14ac:dyDescent="0.25">
      <c r="B20" s="2" t="s">
        <v>176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ht="21" customHeight="1" thickBot="1" x14ac:dyDescent="0.3"/>
    <row r="22" spans="2:15" ht="21" customHeight="1" thickBot="1" x14ac:dyDescent="0.3">
      <c r="B22" s="9" t="s">
        <v>180</v>
      </c>
      <c r="C22" s="9"/>
      <c r="D22" s="12">
        <v>50</v>
      </c>
      <c r="E22" s="10"/>
      <c r="F22" s="97" t="s">
        <v>181</v>
      </c>
      <c r="G22" s="98"/>
      <c r="H22" s="99"/>
      <c r="I22" s="11">
        <f>$D$22-$D$11</f>
        <v>10</v>
      </c>
      <c r="J22" s="10"/>
      <c r="K22" s="97" t="s">
        <v>182</v>
      </c>
      <c r="L22" s="98"/>
      <c r="M22" s="99"/>
      <c r="N22" s="25">
        <f>$D$22/$D$11-1</f>
        <v>0.25</v>
      </c>
    </row>
    <row r="23" spans="2:15" ht="21" customHeight="1" x14ac:dyDescent="0.25">
      <c r="B23" s="6"/>
      <c r="C23" s="7"/>
      <c r="D23" s="7"/>
      <c r="I23" s="8"/>
    </row>
    <row r="24" spans="2:15" ht="21" customHeight="1" x14ac:dyDescent="0.25">
      <c r="B24" s="94" t="s">
        <v>183</v>
      </c>
      <c r="C24" s="95"/>
      <c r="D24" s="95"/>
      <c r="I24" s="94" t="s">
        <v>184</v>
      </c>
      <c r="J24" s="95"/>
      <c r="K24" s="95"/>
      <c r="L24" s="96"/>
    </row>
    <row r="25" spans="2:15" ht="21" customHeight="1" x14ac:dyDescent="0.25">
      <c r="B25" s="3" t="s">
        <v>194</v>
      </c>
      <c r="C25" s="3"/>
      <c r="D25" s="4">
        <f>$G$13</f>
        <v>25000</v>
      </c>
      <c r="I25" s="3" t="s">
        <v>185</v>
      </c>
      <c r="J25" s="3"/>
      <c r="K25" s="3"/>
      <c r="L25" s="4">
        <f>$J$13</f>
        <v>25000</v>
      </c>
    </row>
    <row r="26" spans="2:15" ht="21" customHeight="1" x14ac:dyDescent="0.25">
      <c r="B26" s="3" t="s">
        <v>195</v>
      </c>
      <c r="C26" s="3"/>
      <c r="D26" s="4">
        <f>IFERROR(ROUNDUP($D$9/$D$22,0),0)</f>
        <v>20000</v>
      </c>
      <c r="I26" s="3" t="s">
        <v>186</v>
      </c>
      <c r="J26" s="3"/>
      <c r="K26" s="3"/>
      <c r="L26" s="3">
        <f>$J$13*$D$17</f>
        <v>25000</v>
      </c>
    </row>
    <row r="27" spans="2:15" ht="21" customHeight="1" x14ac:dyDescent="0.25">
      <c r="B27" s="3" t="s">
        <v>196</v>
      </c>
      <c r="C27" s="3"/>
      <c r="D27" s="4">
        <f>IFERROR(ROUNDUP($D$26/$D$17,0),0)</f>
        <v>20000</v>
      </c>
      <c r="I27" s="100" t="s">
        <v>187</v>
      </c>
      <c r="J27" s="101"/>
      <c r="K27" s="102"/>
      <c r="L27" s="14">
        <f>$L$26*$D$22</f>
        <v>1250000</v>
      </c>
    </row>
    <row r="28" spans="2:15" ht="21" customHeight="1" x14ac:dyDescent="0.25">
      <c r="B28" s="3" t="s">
        <v>188</v>
      </c>
      <c r="C28" s="3"/>
      <c r="D28" s="4">
        <f>MAX(0,$J$13-$D$27)</f>
        <v>5000</v>
      </c>
      <c r="I28" s="3" t="s">
        <v>189</v>
      </c>
      <c r="J28" s="3"/>
      <c r="K28" s="3"/>
      <c r="L28" s="5">
        <f>$L$27-$D$9</f>
        <v>250000</v>
      </c>
    </row>
    <row r="29" spans="2:15" ht="21" customHeight="1" x14ac:dyDescent="0.25">
      <c r="B29" s="3" t="s">
        <v>197</v>
      </c>
      <c r="C29" s="3"/>
      <c r="D29" s="4">
        <f>IFERROR(ROUNDUP($D$28/$D$16,0),0)</f>
        <v>100000</v>
      </c>
      <c r="I29" s="3" t="s">
        <v>191</v>
      </c>
      <c r="J29" s="3"/>
      <c r="K29" s="3"/>
      <c r="L29" s="18">
        <f>IFERROR($L$27/$D$9-1,0)</f>
        <v>0.25</v>
      </c>
    </row>
    <row r="30" spans="2:15" ht="21" customHeight="1" x14ac:dyDescent="0.3">
      <c r="B30" s="3" t="s">
        <v>192</v>
      </c>
      <c r="C30" s="3"/>
      <c r="D30" s="18">
        <f>IFERROR($D$28/$J$13,0)</f>
        <v>0.2</v>
      </c>
      <c r="I30" s="15" t="s">
        <v>193</v>
      </c>
      <c r="J30" s="16"/>
      <c r="K30" s="16"/>
      <c r="L30" s="17">
        <f>$J$13*$D$17</f>
        <v>25000</v>
      </c>
    </row>
    <row r="31" spans="2:15" ht="21" customHeight="1" x14ac:dyDescent="0.25"/>
    <row r="32" spans="2:15" ht="21" customHeight="1" x14ac:dyDescent="0.25"/>
    <row r="33" spans="2:15" ht="21" customHeight="1" x14ac:dyDescent="0.25">
      <c r="B33" s="83" t="s">
        <v>177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</row>
    <row r="34" spans="2:15" ht="21" customHeight="1" x14ac:dyDescent="0.25"/>
    <row r="35" spans="2:15" ht="21" customHeight="1" x14ac:dyDescent="0.25">
      <c r="B35" s="84" t="s">
        <v>53</v>
      </c>
      <c r="C35" s="84"/>
      <c r="D35" s="84"/>
      <c r="E35" s="84"/>
      <c r="F35" s="84"/>
      <c r="G35" s="84" t="s">
        <v>54</v>
      </c>
      <c r="H35" s="84"/>
      <c r="I35" s="84"/>
      <c r="J35" s="84"/>
      <c r="K35" s="84"/>
      <c r="L35" s="84" t="s">
        <v>55</v>
      </c>
      <c r="M35" s="84"/>
      <c r="N35" s="84"/>
      <c r="O35" s="84"/>
    </row>
    <row r="36" spans="2:15" ht="21" customHeight="1" x14ac:dyDescent="0.25">
      <c r="B36" s="85">
        <f>IFERROR(ROUNDUP((ROUNDUP((ROUNDUP($D$9/$D$11,0))/$D$17,0))/$D$16,0),0)</f>
        <v>500000</v>
      </c>
      <c r="C36" s="85"/>
      <c r="D36" s="85"/>
      <c r="E36" s="85"/>
      <c r="F36" s="85"/>
      <c r="G36" s="85">
        <f>IFERROR(ROUNDUP((ROUNDUP($D$9/$D$11,0))/$D$17,0),0)</f>
        <v>25000</v>
      </c>
      <c r="H36" s="85"/>
      <c r="I36" s="85"/>
      <c r="J36" s="85"/>
      <c r="K36" s="85"/>
      <c r="L36" s="85">
        <f>IFERROR(ROUNDUP($D$9/$D$11,0),0)</f>
        <v>25000</v>
      </c>
      <c r="M36" s="85"/>
      <c r="N36" s="85"/>
      <c r="O36" s="85"/>
    </row>
    <row r="37" spans="2:15" ht="21" customHeight="1" x14ac:dyDescent="0.25"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</row>
    <row r="38" spans="2:15" ht="36.75" customHeight="1" x14ac:dyDescent="0.25">
      <c r="B38" s="86" t="s">
        <v>56</v>
      </c>
      <c r="C38" s="86"/>
      <c r="D38" s="86"/>
      <c r="E38" s="86"/>
      <c r="F38" s="86"/>
      <c r="G38" s="86" t="s">
        <v>57</v>
      </c>
      <c r="H38" s="86"/>
      <c r="I38" s="86"/>
      <c r="J38" s="86"/>
      <c r="K38" s="86"/>
      <c r="L38" s="86" t="s">
        <v>58</v>
      </c>
      <c r="M38" s="86"/>
      <c r="N38" s="86"/>
      <c r="O38" s="86"/>
    </row>
    <row r="39" spans="2:15" ht="21" customHeight="1" x14ac:dyDescent="0.25"/>
    <row r="40" spans="2:15" ht="21" customHeight="1" x14ac:dyDescent="0.25">
      <c r="B40" s="87" t="str">
        <f>IFERROR("Para facturar "&amp;TEXT($D$9,"#,##0 €")&amp;" con un ticket de "&amp;TEXT($D$11,"#,##0.00 €")&amp;", necesitas "&amp;TEXT(ROUNDUP($D$9/$D$11,0),"#,##0")&amp;" compras al año.","")</f>
        <v>Para facturar 1000000,0 € con un ticket de 40,000 €, necesitas 25000,0 compras al año.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2:15" ht="21" customHeight="1" x14ac:dyDescent="0.25"/>
    <row r="42" spans="2:15" ht="21" customHeight="1" x14ac:dyDescent="0.25">
      <c r="B42" s="83" t="s">
        <v>178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2:15" ht="21" customHeight="1" x14ac:dyDescent="0.25"/>
    <row r="44" spans="2:15" ht="21" customHeight="1" x14ac:dyDescent="0.25">
      <c r="B44" s="42" t="s">
        <v>60</v>
      </c>
      <c r="C44" s="42"/>
      <c r="D44" s="42" t="s">
        <v>61</v>
      </c>
      <c r="E44" s="42"/>
      <c r="F44" s="42"/>
      <c r="G44" s="42" t="s">
        <v>62</v>
      </c>
      <c r="H44" s="42"/>
      <c r="I44" s="42"/>
      <c r="J44" s="42" t="s">
        <v>63</v>
      </c>
      <c r="K44" s="42"/>
      <c r="L44" s="42"/>
      <c r="M44" s="42" t="s">
        <v>64</v>
      </c>
      <c r="N44" s="42"/>
      <c r="O44" s="42"/>
    </row>
    <row r="45" spans="2:15" ht="21" customHeight="1" x14ac:dyDescent="0.25">
      <c r="B45" s="43" t="s">
        <v>65</v>
      </c>
      <c r="C45" s="43"/>
      <c r="D45" s="88">
        <f>IFERROR($D$9/1,0)</f>
        <v>1000000</v>
      </c>
      <c r="E45" s="88"/>
      <c r="F45" s="88"/>
      <c r="G45" s="89">
        <f>IFERROR((ROUNDUP($D$9/$D$11,0))/1,0)</f>
        <v>25000</v>
      </c>
      <c r="H45" s="89"/>
      <c r="I45" s="89"/>
      <c r="J45" s="89">
        <f>IFERROR((ROUNDUP((ROUNDUP($D$9/$D$11,0))/$D$17,0))/1,0)</f>
        <v>25000</v>
      </c>
      <c r="K45" s="89"/>
      <c r="L45" s="89"/>
      <c r="M45" s="89">
        <f>IFERROR((ROUNDUP((ROUNDUP((ROUNDUP($D$9/$D$11,0))/$D$17,0))/$D$16,0))/1,0)</f>
        <v>500000</v>
      </c>
      <c r="N45" s="89"/>
      <c r="O45" s="89"/>
    </row>
    <row r="46" spans="2:15" ht="21" customHeight="1" x14ac:dyDescent="0.25">
      <c r="B46" s="45" t="s">
        <v>66</v>
      </c>
      <c r="C46" s="45"/>
      <c r="D46" s="90">
        <f>IFERROR($D$9/$D$12,0)</f>
        <v>100000</v>
      </c>
      <c r="E46" s="90"/>
      <c r="F46" s="90"/>
      <c r="G46" s="91">
        <f>IFERROR((ROUNDUP($D$9/$D$11,0))/$D$12,0)</f>
        <v>2500</v>
      </c>
      <c r="H46" s="91"/>
      <c r="I46" s="91"/>
      <c r="J46" s="91">
        <f>IFERROR((ROUNDUP((ROUNDUP($D$9/$D$11,0))/$D$17,0))/$D$12,0)</f>
        <v>2500</v>
      </c>
      <c r="K46" s="91"/>
      <c r="L46" s="91"/>
      <c r="M46" s="91">
        <f>IFERROR((ROUNDUP((ROUNDUP((ROUNDUP($D$9/$D$11,0))/$D$17,0))/$D$16,0))/$D$12,0)</f>
        <v>50000</v>
      </c>
      <c r="N46" s="91"/>
      <c r="O46" s="91"/>
    </row>
    <row r="47" spans="2:15" ht="21" customHeight="1" x14ac:dyDescent="0.25">
      <c r="B47" s="43" t="s">
        <v>67</v>
      </c>
      <c r="C47" s="43"/>
      <c r="D47" s="88">
        <f>IFERROR($D$9/$D$14,0)</f>
        <v>23076.923076923074</v>
      </c>
      <c r="E47" s="88"/>
      <c r="F47" s="88"/>
      <c r="G47" s="89">
        <f>IFERROR((ROUNDUP($D$9/$D$11,0))/$D$14,0)</f>
        <v>576.92307692307691</v>
      </c>
      <c r="H47" s="89"/>
      <c r="I47" s="89"/>
      <c r="J47" s="89">
        <f>IFERROR((ROUNDUP((ROUNDUP($D$9/$D$11,0))/$D$17,0))/$D$14,0)</f>
        <v>576.92307692307691</v>
      </c>
      <c r="K47" s="89"/>
      <c r="L47" s="89"/>
      <c r="M47" s="89">
        <f>IFERROR((ROUNDUP((ROUNDUP((ROUNDUP($D$9/$D$11,0))/$D$17,0))/$D$16,0))/$D$14,0)</f>
        <v>11538.461538461537</v>
      </c>
      <c r="N47" s="89"/>
      <c r="O47" s="89"/>
    </row>
    <row r="48" spans="2:15" ht="21" customHeight="1" x14ac:dyDescent="0.25">
      <c r="B48" s="45" t="s">
        <v>68</v>
      </c>
      <c r="C48" s="45"/>
      <c r="D48" s="90">
        <f>IFERROR($D$9/$D$15,0)</f>
        <v>3846.1538461538462</v>
      </c>
      <c r="E48" s="90"/>
      <c r="F48" s="90"/>
      <c r="G48" s="91">
        <f>IFERROR((ROUNDUP($D$9/$D$11,0))/$D$15,0)</f>
        <v>96.15384615384616</v>
      </c>
      <c r="H48" s="91"/>
      <c r="I48" s="91"/>
      <c r="J48" s="91">
        <f>IFERROR((ROUNDUP((ROUNDUP($D$9/$D$11,0))/$D$17,0))/$D$15,0)</f>
        <v>96.15384615384616</v>
      </c>
      <c r="K48" s="91"/>
      <c r="L48" s="91"/>
      <c r="M48" s="91">
        <f>IFERROR((ROUNDUP((ROUNDUP((ROUNDUP($D$9/$D$11,0))/$D$17,0))/$D$16,0))/$D$15,0)</f>
        <v>1923.0769230769231</v>
      </c>
      <c r="N48" s="91"/>
      <c r="O48" s="91"/>
    </row>
    <row r="49" spans="2:15" ht="21" customHeight="1" x14ac:dyDescent="0.25"/>
    <row r="50" spans="2:15" ht="21" customHeight="1" x14ac:dyDescent="0.25"/>
    <row r="51" spans="2:15" ht="21" customHeight="1" x14ac:dyDescent="0.25">
      <c r="B51" s="83" t="s">
        <v>179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2" spans="2:15" ht="21" customHeight="1" x14ac:dyDescent="0.25"/>
    <row r="53" spans="2:15" ht="21" customHeight="1" x14ac:dyDescent="0.25">
      <c r="B53" s="42" t="s">
        <v>60</v>
      </c>
      <c r="C53" s="42"/>
      <c r="D53" s="42" t="s">
        <v>70</v>
      </c>
      <c r="E53" s="42"/>
      <c r="F53" s="42"/>
      <c r="G53" s="42" t="s">
        <v>71</v>
      </c>
      <c r="H53" s="42"/>
      <c r="I53" s="42"/>
      <c r="J53" s="42" t="s">
        <v>72</v>
      </c>
      <c r="K53" s="42"/>
      <c r="L53" s="42"/>
      <c r="M53" s="42" t="s">
        <v>73</v>
      </c>
      <c r="N53" s="42"/>
      <c r="O53" s="42"/>
    </row>
    <row r="54" spans="2:15" ht="21" customHeight="1" x14ac:dyDescent="0.25">
      <c r="B54" s="43" t="s">
        <v>65</v>
      </c>
      <c r="C54" s="43"/>
      <c r="D54" s="88">
        <f>IFERROR((MAX($D$9-$D$10,0))/1,0)</f>
        <v>300000</v>
      </c>
      <c r="E54" s="88"/>
      <c r="F54" s="88"/>
      <c r="G54" s="89">
        <f>IFERROR((ROUNDUP((MAX($D$9-$D$10,0))/$D$11,0))/1,0)</f>
        <v>7500</v>
      </c>
      <c r="H54" s="89"/>
      <c r="I54" s="89"/>
      <c r="J54" s="89">
        <f>IFERROR((ROUNDUP((ROUNDUP((MAX($D$9-$D$10,0))/$D$11,0))/$D$17,0))/1,0)</f>
        <v>7500</v>
      </c>
      <c r="K54" s="89"/>
      <c r="L54" s="89"/>
      <c r="M54" s="89">
        <f>IFERROR((ROUNDUP((ROUNDUP((ROUNDUP((MAX($D$9-$D$10,0))/$D$11,0))/$D$17,0))/$D$16,0))/1,0)</f>
        <v>150000</v>
      </c>
      <c r="N54" s="89"/>
      <c r="O54" s="89"/>
    </row>
    <row r="55" spans="2:15" ht="21" customHeight="1" x14ac:dyDescent="0.25">
      <c r="B55" s="45" t="s">
        <v>66</v>
      </c>
      <c r="C55" s="45"/>
      <c r="D55" s="90">
        <f>IFERROR((MAX($D$9-$D$10,0))/$D$12,0)</f>
        <v>30000</v>
      </c>
      <c r="E55" s="90"/>
      <c r="F55" s="90"/>
      <c r="G55" s="91">
        <f>IFERROR((ROUNDUP((MAX($D$9-$D$10,0))/$D$11,0))/$D$12,0)</f>
        <v>750</v>
      </c>
      <c r="H55" s="91"/>
      <c r="I55" s="91"/>
      <c r="J55" s="91">
        <f>IFERROR((ROUNDUP((ROUNDUP((MAX($D$9-$D$10,0))/$D$11,0))/$D$17,0))/$D$12,0)</f>
        <v>750</v>
      </c>
      <c r="K55" s="91"/>
      <c r="L55" s="91"/>
      <c r="M55" s="91">
        <f>IFERROR((ROUNDUP((ROUNDUP((ROUNDUP((MAX($D$9-$D$10,0))/$D$11,0))/$D$17,0))/$D$16,0))/$D$12,0)</f>
        <v>15000</v>
      </c>
      <c r="N55" s="91"/>
      <c r="O55" s="91"/>
    </row>
    <row r="56" spans="2:15" ht="21" customHeight="1" x14ac:dyDescent="0.25">
      <c r="B56" s="43" t="s">
        <v>67</v>
      </c>
      <c r="C56" s="43"/>
      <c r="D56" s="88">
        <f>IFERROR((MAX($D$9-$D$10,0))/$D$14,0)</f>
        <v>6923.0769230769229</v>
      </c>
      <c r="E56" s="88"/>
      <c r="F56" s="88"/>
      <c r="G56" s="89">
        <f>IFERROR((ROUNDUP((MAX($D$9-$D$10,0))/$D$11,0))/$D$14,0)</f>
        <v>173.07692307692307</v>
      </c>
      <c r="H56" s="89"/>
      <c r="I56" s="89"/>
      <c r="J56" s="89">
        <f>IFERROR((ROUNDUP((ROUNDUP((MAX($D$9-$D$10,0))/$D$11,0))/$D$17,0))/$D$14,0)</f>
        <v>173.07692307692307</v>
      </c>
      <c r="K56" s="89"/>
      <c r="L56" s="89"/>
      <c r="M56" s="89">
        <f>IFERROR((ROUNDUP((ROUNDUP((ROUNDUP((MAX($D$9-$D$10,0))/$D$11,0))/$D$17,0))/$D$16,0))/$D$14,0)</f>
        <v>3461.5384615384614</v>
      </c>
      <c r="N56" s="89"/>
      <c r="O56" s="89"/>
    </row>
    <row r="57" spans="2:15" ht="21" customHeight="1" x14ac:dyDescent="0.25">
      <c r="B57" s="45" t="s">
        <v>68</v>
      </c>
      <c r="C57" s="45"/>
      <c r="D57" s="90">
        <f>IFERROR((MAX($D$9-$D$10,0))/$D$15,0)</f>
        <v>1153.8461538461538</v>
      </c>
      <c r="E57" s="90"/>
      <c r="F57" s="90"/>
      <c r="G57" s="91">
        <f>IFERROR((ROUNDUP((MAX($D$9-$D$10,0))/$D$11,0))/$D$15,0)</f>
        <v>28.846153846153847</v>
      </c>
      <c r="H57" s="91"/>
      <c r="I57" s="91"/>
      <c r="J57" s="91">
        <f>IFERROR((ROUNDUP((ROUNDUP((MAX($D$9-$D$10,0))/$D$11,0))/$D$17,0))/$D$15,0)</f>
        <v>28.846153846153847</v>
      </c>
      <c r="K57" s="91"/>
      <c r="L57" s="91"/>
      <c r="M57" s="91">
        <f>IFERROR((ROUNDUP((ROUNDUP((ROUNDUP((MAX($D$9-$D$10,0))/$D$11,0))/$D$17,0))/$D$16,0))/$D$15,0)</f>
        <v>576.92307692307691</v>
      </c>
      <c r="N57" s="91"/>
      <c r="O57" s="91"/>
    </row>
    <row r="58" spans="2:15" ht="21" customHeight="1" x14ac:dyDescent="0.25"/>
    <row r="59" spans="2:15" ht="21" customHeight="1" x14ac:dyDescent="0.25"/>
    <row r="60" spans="2:15" ht="21" customHeight="1" x14ac:dyDescent="0.25">
      <c r="B60" s="92" t="s">
        <v>74</v>
      </c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2:15" ht="21" customHeight="1" x14ac:dyDescent="0.25"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  <row r="62" spans="2:15" ht="21" customHeight="1" x14ac:dyDescent="0.25"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</row>
    <row r="63" spans="2:15" ht="21" customHeight="1" x14ac:dyDescent="0.25"/>
    <row r="64" spans="2:15" ht="21" customHeight="1" x14ac:dyDescent="0.25">
      <c r="B64" s="93" t="s">
        <v>75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</row>
  </sheetData>
  <mergeCells count="114">
    <mergeCell ref="B60:O62"/>
    <mergeCell ref="B64:O64"/>
    <mergeCell ref="B24:D24"/>
    <mergeCell ref="I24:L24"/>
    <mergeCell ref="F22:H22"/>
    <mergeCell ref="K22:M22"/>
    <mergeCell ref="I27:K27"/>
    <mergeCell ref="B56:C56"/>
    <mergeCell ref="D56:F56"/>
    <mergeCell ref="G56:I56"/>
    <mergeCell ref="J56:L56"/>
    <mergeCell ref="M56:O56"/>
    <mergeCell ref="B57:C57"/>
    <mergeCell ref="D57:F57"/>
    <mergeCell ref="G57:I57"/>
    <mergeCell ref="J57:L57"/>
    <mergeCell ref="M57:O57"/>
    <mergeCell ref="B54:C54"/>
    <mergeCell ref="D54:F54"/>
    <mergeCell ref="G54:I54"/>
    <mergeCell ref="J54:L54"/>
    <mergeCell ref="M54:O54"/>
    <mergeCell ref="B55:C55"/>
    <mergeCell ref="D55:F55"/>
    <mergeCell ref="G55:I55"/>
    <mergeCell ref="J55:L55"/>
    <mergeCell ref="M55:O55"/>
    <mergeCell ref="B48:C48"/>
    <mergeCell ref="D48:F48"/>
    <mergeCell ref="G48:I48"/>
    <mergeCell ref="J48:L48"/>
    <mergeCell ref="M48:O48"/>
    <mergeCell ref="B51:O51"/>
    <mergeCell ref="B53:C53"/>
    <mergeCell ref="D53:F53"/>
    <mergeCell ref="G53:I53"/>
    <mergeCell ref="J53:L53"/>
    <mergeCell ref="M53:O53"/>
    <mergeCell ref="B46:C46"/>
    <mergeCell ref="D46:F46"/>
    <mergeCell ref="G46:I46"/>
    <mergeCell ref="J46:L46"/>
    <mergeCell ref="M46:O46"/>
    <mergeCell ref="B47:C47"/>
    <mergeCell ref="D47:F47"/>
    <mergeCell ref="G47:I47"/>
    <mergeCell ref="J47:L47"/>
    <mergeCell ref="M47:O47"/>
    <mergeCell ref="B40:O40"/>
    <mergeCell ref="B42:O42"/>
    <mergeCell ref="B44:C44"/>
    <mergeCell ref="D44:F44"/>
    <mergeCell ref="G44:I44"/>
    <mergeCell ref="J44:L44"/>
    <mergeCell ref="M44:O44"/>
    <mergeCell ref="B45:C45"/>
    <mergeCell ref="D45:F45"/>
    <mergeCell ref="G45:I45"/>
    <mergeCell ref="J45:L45"/>
    <mergeCell ref="M45:O45"/>
    <mergeCell ref="B33:O33"/>
    <mergeCell ref="B35:F35"/>
    <mergeCell ref="G35:K35"/>
    <mergeCell ref="L35:O35"/>
    <mergeCell ref="B36:F37"/>
    <mergeCell ref="G36:K37"/>
    <mergeCell ref="L36:O37"/>
    <mergeCell ref="B38:F38"/>
    <mergeCell ref="G38:K38"/>
    <mergeCell ref="L38:O38"/>
    <mergeCell ref="B15:C15"/>
    <mergeCell ref="D15:E15"/>
    <mergeCell ref="B16:C16"/>
    <mergeCell ref="D16:E16"/>
    <mergeCell ref="G16:I16"/>
    <mergeCell ref="J16:L16"/>
    <mergeCell ref="M16:O16"/>
    <mergeCell ref="B17:C17"/>
    <mergeCell ref="D17:E17"/>
    <mergeCell ref="G17:I18"/>
    <mergeCell ref="J17:L18"/>
    <mergeCell ref="M17:O18"/>
    <mergeCell ref="B18:E18"/>
    <mergeCell ref="B12:C12"/>
    <mergeCell ref="D12:E12"/>
    <mergeCell ref="G12:I12"/>
    <mergeCell ref="J12:L12"/>
    <mergeCell ref="M12:O12"/>
    <mergeCell ref="B13:C13"/>
    <mergeCell ref="D13:E13"/>
    <mergeCell ref="G13:I14"/>
    <mergeCell ref="J13:L14"/>
    <mergeCell ref="M13:O14"/>
    <mergeCell ref="B14:C14"/>
    <mergeCell ref="D14:E14"/>
    <mergeCell ref="B9:C9"/>
    <mergeCell ref="D9:E9"/>
    <mergeCell ref="G9:I10"/>
    <mergeCell ref="J9:L10"/>
    <mergeCell ref="M9:O10"/>
    <mergeCell ref="B10:C10"/>
    <mergeCell ref="D10:E10"/>
    <mergeCell ref="B11:C11"/>
    <mergeCell ref="D11:E11"/>
    <mergeCell ref="B2:O3"/>
    <mergeCell ref="B4:O4"/>
    <mergeCell ref="B5:O5"/>
    <mergeCell ref="B7:E7"/>
    <mergeCell ref="G7:O7"/>
    <mergeCell ref="B8:C8"/>
    <mergeCell ref="D8:E8"/>
    <mergeCell ref="G8:I8"/>
    <mergeCell ref="J8:L8"/>
    <mergeCell ref="M8:O8"/>
  </mergeCells>
  <dataValidations count="5">
    <dataValidation type="decimal" operator="greaterThan" showInputMessage="1" showErrorMessage="1" errorTitle="Dato no válido" error="Introduce un número mayor que cero." promptTitle="Dato editable" prompt="Modifica esta celda amarilla con los datos reales de tu empresa." sqref="D9 D11" xr:uid="{00000000-0002-0000-0100-000000000000}">
      <formula1>0</formula1>
      <formula2>0</formula2>
    </dataValidation>
    <dataValidation type="decimal" operator="greaterThanOrEqual" showInputMessage="1" showErrorMessage="1" errorTitle="Dato no válido" error="Introduce un número igual o mayor que cero." promptTitle="Dato editable" prompt="Modifica esta celda amarilla con los datos reales de tu empresa." sqref="D10" xr:uid="{00000000-0002-0000-0100-000001000000}">
      <formula1>0</formula1>
      <formula2>0</formula2>
    </dataValidation>
    <dataValidation type="whole" showInputMessage="1" showErrorMessage="1" errorTitle="Dato no válido" error="Los meses activos deben estar entre 1 y 12." promptTitle="Dato editable" prompt="Modifica esta celda amarilla con los datos reales de tu empresa." sqref="D12" xr:uid="{00000000-0002-0000-0100-000002000000}">
      <formula1>1</formula1>
      <formula2>12</formula2>
    </dataValidation>
    <dataValidation type="whole" showInputMessage="1" showErrorMessage="1" errorTitle="Dato no válido" error="Los días por semana deben estar entre 1 y 7." promptTitle="Dato editable" prompt="Modifica esta celda amarilla con los datos reales de tu empresa." sqref="D13" xr:uid="{00000000-0002-0000-0100-000003000000}">
      <formula1>1</formula1>
      <formula2>7</formula2>
    </dataValidation>
    <dataValidation type="decimal" showInputMessage="1" showErrorMessage="1" errorTitle="Dato no válido" error="Introduce un porcentaje mayor que 0 % y hasta 100 %." promptTitle="Dato editable" prompt="Modifica esta celda amarilla con los datos reales de tu empresa." sqref="D16:D17" xr:uid="{00000000-0002-0000-0100-000004000000}">
      <formula1>0.0001</formula1>
      <formula2>1</formula2>
    </dataValidation>
  </dataValidations>
  <printOptions horizontalCentered="1"/>
  <pageMargins left="0.75" right="0.75" top="1" bottom="1" header="0.511811023622047" footer="0.5"/>
  <pageSetup paperSize="9" fitToHeight="2" orientation="landscape" horizontalDpi="300" verticalDpi="300"/>
  <headerFooter>
    <oddFooter>&amp;C&amp;8 Rafael Bonilla 10+ · Método All In One&amp;R&amp;8 Página &amp;P de &amp;N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0B0D"/>
    <pageSetUpPr fitToPage="1"/>
  </sheetPr>
  <dimension ref="B1:O65"/>
  <sheetViews>
    <sheetView showGridLines="0" zoomScaleNormal="100" workbookViewId="0">
      <pane xSplit="1" ySplit="5" topLeftCell="B52" activePane="bottomRight" state="frozen"/>
      <selection pane="topRight" activeCell="B1" sqref="B1"/>
      <selection pane="bottomLeft" activeCell="A7" sqref="A7"/>
      <selection pane="bottomRight" activeCell="B4" sqref="B4:O4"/>
    </sheetView>
  </sheetViews>
  <sheetFormatPr baseColWidth="10" defaultColWidth="8.7109375" defaultRowHeight="15" x14ac:dyDescent="0.25"/>
  <cols>
    <col min="1" max="1" width="2" customWidth="1"/>
    <col min="2" max="2" width="17" customWidth="1"/>
    <col min="3" max="3" width="24.5703125" customWidth="1"/>
    <col min="4" max="4" width="20.42578125" customWidth="1"/>
    <col min="5" max="5" width="13" customWidth="1"/>
    <col min="6" max="6" width="2" customWidth="1"/>
    <col min="7" max="10" width="13" customWidth="1"/>
    <col min="11" max="11" width="15.28515625" customWidth="1"/>
    <col min="12" max="12" width="25.42578125" customWidth="1"/>
    <col min="13" max="15" width="13" customWidth="1"/>
  </cols>
  <sheetData>
    <row r="1" spans="2:15" ht="33" customHeight="1" x14ac:dyDescent="0.25">
      <c r="B1" s="66" t="s">
        <v>218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2:15" ht="33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27" customHeight="1" x14ac:dyDescent="0.25">
      <c r="B3" s="39" t="s">
        <v>76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2:15" ht="24.75" customHeight="1" x14ac:dyDescent="0.25"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2:15" ht="21" customHeight="1" x14ac:dyDescent="0.25"/>
    <row r="6" spans="2:15" ht="21" customHeight="1" x14ac:dyDescent="0.25">
      <c r="B6" s="41" t="s">
        <v>30</v>
      </c>
      <c r="C6" s="41"/>
      <c r="D6" s="41"/>
      <c r="E6" s="41"/>
      <c r="G6" s="41" t="s">
        <v>31</v>
      </c>
      <c r="H6" s="41"/>
      <c r="I6" s="41"/>
      <c r="J6" s="41"/>
      <c r="K6" s="41"/>
      <c r="L6" s="41"/>
      <c r="M6" s="41"/>
      <c r="N6" s="41"/>
      <c r="O6" s="41"/>
    </row>
    <row r="7" spans="2:15" ht="21" customHeight="1" x14ac:dyDescent="0.25">
      <c r="B7" s="67" t="s">
        <v>32</v>
      </c>
      <c r="C7" s="67"/>
      <c r="D7" s="68" t="s">
        <v>77</v>
      </c>
      <c r="E7" s="68"/>
      <c r="G7" s="69" t="s">
        <v>34</v>
      </c>
      <c r="H7" s="69"/>
      <c r="I7" s="69"/>
      <c r="J7" s="69" t="s">
        <v>35</v>
      </c>
      <c r="K7" s="69"/>
      <c r="L7" s="69"/>
      <c r="M7" s="70" t="s">
        <v>36</v>
      </c>
      <c r="N7" s="70"/>
      <c r="O7" s="70"/>
    </row>
    <row r="8" spans="2:15" ht="21" customHeight="1" x14ac:dyDescent="0.25">
      <c r="B8" s="67" t="s">
        <v>37</v>
      </c>
      <c r="C8" s="67"/>
      <c r="D8" s="71">
        <v>1000000</v>
      </c>
      <c r="E8" s="71"/>
      <c r="G8" s="72">
        <f>IFERROR($D$8,0)</f>
        <v>1000000</v>
      </c>
      <c r="H8" s="72"/>
      <c r="I8" s="72"/>
      <c r="J8" s="72">
        <f>IFERROR($D$9,0)</f>
        <v>600000</v>
      </c>
      <c r="K8" s="72"/>
      <c r="L8" s="72"/>
      <c r="M8" s="73">
        <f>IFERROR(MAX($D$8-$D$9,0),0)</f>
        <v>400000</v>
      </c>
      <c r="N8" s="73"/>
      <c r="O8" s="73"/>
    </row>
    <row r="9" spans="2:15" ht="21" customHeight="1" x14ac:dyDescent="0.25">
      <c r="B9" s="67" t="s">
        <v>38</v>
      </c>
      <c r="C9" s="67"/>
      <c r="D9" s="71">
        <v>600000</v>
      </c>
      <c r="E9" s="71"/>
      <c r="G9" s="72"/>
      <c r="H9" s="72"/>
      <c r="I9" s="72"/>
      <c r="J9" s="72"/>
      <c r="K9" s="72"/>
      <c r="L9" s="72"/>
      <c r="M9" s="73"/>
      <c r="N9" s="73"/>
      <c r="O9" s="73"/>
    </row>
    <row r="10" spans="2:15" ht="21" customHeight="1" x14ac:dyDescent="0.25">
      <c r="B10" s="67" t="s">
        <v>78</v>
      </c>
      <c r="C10" s="67"/>
      <c r="D10" s="74">
        <v>2000</v>
      </c>
      <c r="E10" s="74"/>
    </row>
    <row r="11" spans="2:15" ht="21" customHeight="1" x14ac:dyDescent="0.25">
      <c r="B11" s="67" t="s">
        <v>40</v>
      </c>
      <c r="C11" s="67"/>
      <c r="D11" s="75">
        <v>12</v>
      </c>
      <c r="E11" s="75"/>
      <c r="G11" s="69" t="s">
        <v>79</v>
      </c>
      <c r="H11" s="69"/>
      <c r="I11" s="69"/>
      <c r="J11" s="69" t="s">
        <v>80</v>
      </c>
      <c r="K11" s="69"/>
      <c r="L11" s="69"/>
      <c r="M11" s="69" t="s">
        <v>81</v>
      </c>
      <c r="N11" s="69"/>
      <c r="O11" s="69"/>
    </row>
    <row r="12" spans="2:15" ht="21" customHeight="1" x14ac:dyDescent="0.25">
      <c r="B12" s="67" t="s">
        <v>82</v>
      </c>
      <c r="C12" s="67"/>
      <c r="D12" s="75">
        <v>5</v>
      </c>
      <c r="E12" s="75"/>
      <c r="G12" s="76">
        <f>IFERROR(ROUNDUP($D$8/$D$10,0),0)</f>
        <v>500</v>
      </c>
      <c r="H12" s="76"/>
      <c r="I12" s="76"/>
      <c r="J12" s="76">
        <f>IFERROR(ROUNDUP((ROUNDUP($D$8/$D$10,0))/$D$17,0),0)</f>
        <v>1250</v>
      </c>
      <c r="K12" s="76"/>
      <c r="L12" s="76"/>
      <c r="M12" s="76">
        <f>IFERROR(ROUNDUP((ROUNDUP((ROUNDUP($D$8/$D$10,0))/$D$17,0))/$D$16,0),0)</f>
        <v>25000</v>
      </c>
      <c r="N12" s="76"/>
      <c r="O12" s="76"/>
    </row>
    <row r="13" spans="2:15" ht="21" customHeight="1" x14ac:dyDescent="0.25">
      <c r="B13" s="67" t="s">
        <v>45</v>
      </c>
      <c r="C13" s="67"/>
      <c r="D13" s="77">
        <f>$D$11*52/12</f>
        <v>52</v>
      </c>
      <c r="E13" s="77"/>
      <c r="G13" s="76"/>
      <c r="H13" s="76"/>
      <c r="I13" s="76"/>
      <c r="J13" s="76"/>
      <c r="K13" s="76"/>
      <c r="L13" s="76"/>
      <c r="M13" s="76"/>
      <c r="N13" s="76"/>
      <c r="O13" s="76"/>
    </row>
    <row r="14" spans="2:15" ht="21" customHeight="1" x14ac:dyDescent="0.25">
      <c r="B14" s="67" t="s">
        <v>46</v>
      </c>
      <c r="C14" s="67"/>
      <c r="D14" s="77">
        <f>$D$13*$D$12</f>
        <v>260</v>
      </c>
      <c r="E14" s="77"/>
    </row>
    <row r="15" spans="2:15" ht="21" customHeight="1" x14ac:dyDescent="0.25">
      <c r="B15" s="67" t="s">
        <v>83</v>
      </c>
      <c r="C15" s="67"/>
      <c r="D15" s="78">
        <v>0.02</v>
      </c>
      <c r="E15" s="78"/>
      <c r="G15" s="69" t="s">
        <v>43</v>
      </c>
      <c r="H15" s="69"/>
      <c r="I15" s="69"/>
      <c r="J15" s="69" t="s">
        <v>84</v>
      </c>
      <c r="K15" s="69"/>
      <c r="L15" s="69"/>
      <c r="M15" s="70" t="s">
        <v>85</v>
      </c>
      <c r="N15" s="70"/>
      <c r="O15" s="70"/>
    </row>
    <row r="16" spans="2:15" ht="21" customHeight="1" x14ac:dyDescent="0.25">
      <c r="B16" s="67" t="s">
        <v>86</v>
      </c>
      <c r="C16" s="67"/>
      <c r="D16" s="78">
        <v>0.05</v>
      </c>
      <c r="E16" s="78"/>
      <c r="G16" s="76">
        <f>IFERROR(ROUNDUP((ROUNDUP((ROUNDUP((ROUNDUP($D$8/$D$10,0))/$D$17,0))/$D$16,0))/$D$15,0),0)</f>
        <v>1250000</v>
      </c>
      <c r="H16" s="76"/>
      <c r="I16" s="76"/>
      <c r="J16" s="80">
        <f>IFERROR((ROUNDUP($D$8/$D$10,0))/$D$11,0)</f>
        <v>41.666666666666664</v>
      </c>
      <c r="K16" s="80"/>
      <c r="L16" s="80"/>
      <c r="M16" s="81">
        <f>IFERROR(ROUNDUP((MAX($D$8-$D$9,0))/$D$10,0),0)</f>
        <v>200</v>
      </c>
      <c r="N16" s="81"/>
      <c r="O16" s="81"/>
    </row>
    <row r="17" spans="2:15" ht="21" customHeight="1" x14ac:dyDescent="0.25">
      <c r="B17" s="67" t="s">
        <v>87</v>
      </c>
      <c r="C17" s="67"/>
      <c r="D17" s="78">
        <v>0.4</v>
      </c>
      <c r="E17" s="78"/>
      <c r="G17" s="76"/>
      <c r="H17" s="76"/>
      <c r="I17" s="76"/>
      <c r="J17" s="80"/>
      <c r="K17" s="80"/>
      <c r="L17" s="80"/>
      <c r="M17" s="81"/>
      <c r="N17" s="81"/>
      <c r="O17" s="81"/>
    </row>
    <row r="18" spans="2:15" ht="21" customHeight="1" x14ac:dyDescent="0.25"/>
    <row r="19" spans="2:15" ht="21" customHeight="1" x14ac:dyDescent="0.25">
      <c r="B19" s="41" t="s">
        <v>52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2:15" ht="21" customHeight="1" x14ac:dyDescent="0.25"/>
    <row r="21" spans="2:15" ht="21" customHeight="1" x14ac:dyDescent="0.25">
      <c r="B21" s="84" t="s">
        <v>88</v>
      </c>
      <c r="C21" s="84"/>
      <c r="D21" s="84"/>
      <c r="E21" s="84" t="s">
        <v>89</v>
      </c>
      <c r="F21" s="84"/>
      <c r="G21" s="84"/>
      <c r="H21" s="84" t="s">
        <v>90</v>
      </c>
      <c r="I21" s="84"/>
      <c r="J21" s="84"/>
      <c r="K21" s="84"/>
      <c r="L21" s="84" t="s">
        <v>91</v>
      </c>
      <c r="M21" s="84"/>
      <c r="N21" s="84"/>
      <c r="O21" s="84"/>
    </row>
    <row r="22" spans="2:15" ht="21" customHeight="1" x14ac:dyDescent="0.25">
      <c r="B22" s="85">
        <f>IFERROR(ROUNDUP((ROUNDUP((ROUNDUP((ROUNDUP($D$8/$D$10,0))/$D$17,0))/$D$16,0))/$D$15,0),0)</f>
        <v>1250000</v>
      </c>
      <c r="C22" s="85"/>
      <c r="D22" s="85"/>
      <c r="E22" s="85">
        <f>IFERROR(ROUNDUP((ROUNDUP((ROUNDUP($D$8/$D$10,0))/$D$17,0))/$D$16,0),0)</f>
        <v>25000</v>
      </c>
      <c r="F22" s="85"/>
      <c r="G22" s="85"/>
      <c r="H22" s="85">
        <f>IFERROR(ROUNDUP((ROUNDUP($D$8/$D$10,0))/$D$17,0),0)</f>
        <v>1250</v>
      </c>
      <c r="I22" s="85"/>
      <c r="J22" s="85"/>
      <c r="K22" s="85"/>
      <c r="L22" s="85">
        <f>IFERROR(ROUNDUP($D$8/$D$10,0),0)</f>
        <v>500</v>
      </c>
      <c r="M22" s="85"/>
      <c r="N22" s="85"/>
      <c r="O22" s="85"/>
    </row>
    <row r="23" spans="2:15" ht="21" customHeight="1" x14ac:dyDescent="0.25"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  <row r="24" spans="2:15" ht="27" customHeight="1" x14ac:dyDescent="0.25">
      <c r="B24" s="86" t="s">
        <v>92</v>
      </c>
      <c r="C24" s="86"/>
      <c r="D24" s="86"/>
      <c r="E24" s="86" t="s">
        <v>93</v>
      </c>
      <c r="F24" s="86"/>
      <c r="G24" s="86"/>
      <c r="H24" s="86" t="s">
        <v>94</v>
      </c>
      <c r="I24" s="86"/>
      <c r="J24" s="86"/>
      <c r="K24" s="86"/>
      <c r="L24" s="86" t="s">
        <v>95</v>
      </c>
      <c r="M24" s="86"/>
      <c r="N24" s="86"/>
      <c r="O24" s="86"/>
    </row>
    <row r="25" spans="2:15" ht="21" customHeight="1" x14ac:dyDescent="0.25"/>
    <row r="26" spans="2:15" ht="21" customHeight="1" x14ac:dyDescent="0.25">
      <c r="B26" s="87" t="str">
        <f>IFERROR("Con un valor medio de "&amp;TEXT($D$10,"#,##0.0 €")&amp;" y un cierre del "&amp;TEXT($D$17,"0.0%")&amp;", necesitas "&amp;TEXT(ROUNDUP(($D$8/$D$10)/$D$17,0),"#,##0")&amp;" oportunidades al año.","")</f>
        <v>Con un valor medio de 2000,00 € y un cierre del 40%, necesitas 1250,0 oportunidades al año.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2:15" ht="21" customHeight="1" x14ac:dyDescent="0.25"/>
    <row r="28" spans="2:15" ht="27" customHeight="1" x14ac:dyDescent="0.25">
      <c r="B28" s="66" t="s">
        <v>216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</row>
    <row r="29" spans="2:15" ht="21" customHeight="1" thickBot="1" x14ac:dyDescent="0.3"/>
    <row r="30" spans="2:15" ht="21" customHeight="1" thickBot="1" x14ac:dyDescent="0.35">
      <c r="B30" s="9" t="s">
        <v>199</v>
      </c>
      <c r="C30" s="19"/>
      <c r="D30" s="35">
        <v>0.5</v>
      </c>
      <c r="E30" s="20"/>
      <c r="F30" s="21" t="s">
        <v>215</v>
      </c>
      <c r="G30" s="22"/>
      <c r="H30" s="22"/>
      <c r="I30" s="23">
        <f>$D$30-$D$17</f>
        <v>9.9999999999999978E-2</v>
      </c>
      <c r="J30" s="20"/>
      <c r="K30" s="21" t="s">
        <v>200</v>
      </c>
      <c r="L30" s="22"/>
      <c r="M30" s="22"/>
      <c r="N30" s="24">
        <f>$D$30/$D$17-1</f>
        <v>0.25</v>
      </c>
    </row>
    <row r="31" spans="2:15" ht="21" customHeight="1" thickBot="1" x14ac:dyDescent="0.35">
      <c r="B31" s="10"/>
      <c r="C31" s="26"/>
      <c r="D31" s="20"/>
      <c r="E31" s="20"/>
      <c r="F31" s="27"/>
      <c r="G31" s="27"/>
      <c r="H31" s="27"/>
      <c r="I31" s="28"/>
      <c r="J31" s="20"/>
      <c r="K31" s="27"/>
      <c r="L31" s="27"/>
      <c r="M31" s="27"/>
      <c r="N31" s="29"/>
    </row>
    <row r="32" spans="2:15" ht="21" customHeight="1" x14ac:dyDescent="0.3">
      <c r="B32" s="30" t="s">
        <v>201</v>
      </c>
      <c r="C32" s="31"/>
      <c r="D32" s="31"/>
      <c r="E32" s="20"/>
      <c r="F32" s="20"/>
      <c r="G32" s="20"/>
      <c r="H32" s="20"/>
      <c r="I32" s="30" t="s">
        <v>202</v>
      </c>
      <c r="J32" s="30"/>
      <c r="K32" s="30"/>
      <c r="L32" s="30"/>
      <c r="M32" s="20"/>
      <c r="N32" s="20"/>
    </row>
    <row r="33" spans="2:15" ht="21" customHeight="1" x14ac:dyDescent="0.3">
      <c r="B33" s="34" t="s">
        <v>203</v>
      </c>
      <c r="C33" s="34"/>
      <c r="D33" s="33">
        <f>$G$12</f>
        <v>500</v>
      </c>
      <c r="E33" s="20"/>
      <c r="F33" s="20"/>
      <c r="G33" s="20"/>
      <c r="H33" s="20"/>
      <c r="I33" s="34" t="s">
        <v>204</v>
      </c>
      <c r="J33" s="32"/>
      <c r="K33" s="32"/>
      <c r="L33" s="33">
        <f>$J$12</f>
        <v>1250</v>
      </c>
      <c r="M33" s="20"/>
      <c r="N33" s="20"/>
    </row>
    <row r="34" spans="2:15" ht="21" customHeight="1" x14ac:dyDescent="0.3">
      <c r="B34" s="34" t="s">
        <v>214</v>
      </c>
      <c r="C34" s="34"/>
      <c r="D34" s="33">
        <f>$J$12</f>
        <v>1250</v>
      </c>
      <c r="E34" s="20"/>
      <c r="F34" s="20"/>
      <c r="G34" s="20"/>
      <c r="H34" s="20"/>
      <c r="I34" s="34" t="s">
        <v>205</v>
      </c>
      <c r="J34" s="32"/>
      <c r="K34" s="32"/>
      <c r="L34" s="32">
        <f>ROUND($J$12*$D$17,0)</f>
        <v>500</v>
      </c>
      <c r="M34" s="20"/>
      <c r="N34" s="20"/>
    </row>
    <row r="35" spans="2:15" ht="21" customHeight="1" x14ac:dyDescent="0.3">
      <c r="B35" s="34" t="s">
        <v>206</v>
      </c>
      <c r="C35" s="34"/>
      <c r="D35" s="32">
        <f>IFERROR(ROUNDUP($G$12/$D$30,0),0)</f>
        <v>1000</v>
      </c>
      <c r="E35" s="20"/>
      <c r="F35" s="20"/>
      <c r="G35" s="20"/>
      <c r="H35" s="20"/>
      <c r="I35" s="34" t="s">
        <v>207</v>
      </c>
      <c r="J35" s="32"/>
      <c r="K35" s="32"/>
      <c r="L35" s="32">
        <f>ROUND($J$12*$D$30,0)</f>
        <v>625</v>
      </c>
      <c r="M35" s="20"/>
      <c r="N35" s="27"/>
    </row>
    <row r="36" spans="2:15" ht="21" customHeight="1" x14ac:dyDescent="0.3">
      <c r="B36" s="34" t="s">
        <v>208</v>
      </c>
      <c r="C36" s="34"/>
      <c r="D36" s="33">
        <f>MAX(0,$J$12-$D$35)</f>
        <v>250</v>
      </c>
      <c r="E36" s="20"/>
      <c r="F36" s="20"/>
      <c r="G36" s="20"/>
      <c r="H36" s="20"/>
      <c r="I36" s="34" t="s">
        <v>209</v>
      </c>
      <c r="J36" s="32"/>
      <c r="K36" s="32"/>
      <c r="L36" s="32">
        <f>L35-L34</f>
        <v>125</v>
      </c>
      <c r="M36" s="20"/>
      <c r="N36" s="20"/>
    </row>
    <row r="37" spans="2:15" ht="21" customHeight="1" x14ac:dyDescent="0.3">
      <c r="B37" s="34" t="s">
        <v>210</v>
      </c>
      <c r="C37" s="34"/>
      <c r="D37" s="33">
        <f>MAX(0,$M$12-IFERROR(ROUNDUP($D$35/$D$16,0),0))</f>
        <v>5000</v>
      </c>
      <c r="E37" s="20"/>
      <c r="F37" s="20"/>
      <c r="G37" s="20"/>
      <c r="H37" s="20"/>
      <c r="I37" s="104" t="s">
        <v>211</v>
      </c>
      <c r="J37" s="105"/>
      <c r="K37" s="106"/>
      <c r="L37" s="36">
        <f>L35*$D$10</f>
        <v>1250000</v>
      </c>
    </row>
    <row r="38" spans="2:15" ht="21" customHeight="1" thickBot="1" x14ac:dyDescent="0.35">
      <c r="B38" s="34" t="s">
        <v>190</v>
      </c>
      <c r="C38" s="34"/>
      <c r="D38" s="33">
        <f>MAX(0,$G$16-IFERROR(ROUNDUP(ROUNDUP($D$35/$D$16,0)/$D$15,0),0))</f>
        <v>250000</v>
      </c>
      <c r="E38" s="20"/>
      <c r="F38" s="20"/>
      <c r="G38" s="20"/>
      <c r="H38" s="20"/>
      <c r="I38" s="34" t="s">
        <v>189</v>
      </c>
      <c r="J38" s="32"/>
      <c r="K38" s="32"/>
      <c r="L38" s="37">
        <f>L37-$D$8</f>
        <v>250000</v>
      </c>
      <c r="M38" s="20"/>
      <c r="N38" s="20"/>
    </row>
    <row r="39" spans="2:15" ht="21" customHeight="1" thickBot="1" x14ac:dyDescent="0.35">
      <c r="B39" s="34" t="s">
        <v>212</v>
      </c>
      <c r="C39" s="34"/>
      <c r="D39" s="24">
        <f>IFERROR($D$36/$J$12,0)</f>
        <v>0.2</v>
      </c>
      <c r="E39" s="20"/>
      <c r="F39" s="20"/>
      <c r="G39" s="20"/>
      <c r="H39" s="20"/>
      <c r="I39" s="34" t="s">
        <v>191</v>
      </c>
      <c r="J39" s="32"/>
      <c r="K39" s="32"/>
      <c r="L39" s="24">
        <f>IFERROR($L$37/$D$8-1,0)</f>
        <v>0.25</v>
      </c>
      <c r="M39" s="20"/>
      <c r="N39" s="20"/>
    </row>
    <row r="40" spans="2:15" ht="21" customHeight="1" x14ac:dyDescent="0.3">
      <c r="B40" s="20"/>
      <c r="C40" s="20"/>
      <c r="D40" s="20"/>
      <c r="E40" s="20"/>
      <c r="F40" s="20"/>
      <c r="G40" s="20"/>
      <c r="H40" s="20"/>
      <c r="I40" s="34" t="s">
        <v>213</v>
      </c>
      <c r="J40" s="32"/>
      <c r="K40" s="32"/>
      <c r="L40" s="13">
        <f>$J$12*1%*$D$10</f>
        <v>25000</v>
      </c>
      <c r="M40" s="20"/>
      <c r="N40" s="20"/>
    </row>
    <row r="41" spans="2:15" ht="21" customHeight="1" x14ac:dyDescent="0.25"/>
    <row r="42" spans="2:15" ht="21" customHeight="1" x14ac:dyDescent="0.25">
      <c r="B42" s="41" t="s">
        <v>59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2:15" ht="21" customHeight="1" x14ac:dyDescent="0.25"/>
    <row r="44" spans="2:15" ht="21" customHeight="1" x14ac:dyDescent="0.25">
      <c r="B44" s="42" t="s">
        <v>60</v>
      </c>
      <c r="C44" s="42"/>
      <c r="D44" s="42" t="s">
        <v>61</v>
      </c>
      <c r="E44" s="42"/>
      <c r="F44" s="42"/>
      <c r="G44" s="42" t="s">
        <v>96</v>
      </c>
      <c r="H44" s="42"/>
      <c r="I44" s="42" t="s">
        <v>80</v>
      </c>
      <c r="J44" s="42"/>
      <c r="K44" s="42" t="s">
        <v>97</v>
      </c>
      <c r="L44" s="42"/>
      <c r="M44" s="42" t="s">
        <v>64</v>
      </c>
      <c r="N44" s="42"/>
      <c r="O44" s="42"/>
    </row>
    <row r="45" spans="2:15" ht="21" customHeight="1" x14ac:dyDescent="0.25">
      <c r="B45" s="43" t="s">
        <v>65</v>
      </c>
      <c r="C45" s="43"/>
      <c r="D45" s="88">
        <f>IFERROR($D$8/1,0)</f>
        <v>1000000</v>
      </c>
      <c r="E45" s="88"/>
      <c r="F45" s="88"/>
      <c r="G45" s="89">
        <f>IFERROR((ROUNDUP($D$8/$D$10,0))/1,0)</f>
        <v>500</v>
      </c>
      <c r="H45" s="89"/>
      <c r="I45" s="89">
        <f>IFERROR((ROUNDUP((ROUNDUP($D$8/$D$10,0))/$D$17,0))/1,0)</f>
        <v>1250</v>
      </c>
      <c r="J45" s="89"/>
      <c r="K45" s="89">
        <f>IFERROR((ROUNDUP((ROUNDUP((ROUNDUP($D$8/$D$10,0))/$D$17,0))/$D$16,0))/1,0)</f>
        <v>25000</v>
      </c>
      <c r="L45" s="89"/>
      <c r="M45" s="89">
        <f>IFERROR((ROUNDUP((ROUNDUP((ROUNDUP((ROUNDUP($D$8/$D$10,0))/$D$17,0))/$D$16,0))/$D$15,0))/1,0)</f>
        <v>1250000</v>
      </c>
      <c r="N45" s="89"/>
      <c r="O45" s="89"/>
    </row>
    <row r="46" spans="2:15" ht="21" customHeight="1" x14ac:dyDescent="0.25">
      <c r="B46" s="45" t="s">
        <v>66</v>
      </c>
      <c r="C46" s="45"/>
      <c r="D46" s="90">
        <f>IFERROR($D$8/$D$11,0)</f>
        <v>83333.333333333328</v>
      </c>
      <c r="E46" s="90"/>
      <c r="F46" s="90"/>
      <c r="G46" s="91">
        <f>IFERROR((ROUNDUP($D$8/$D$10,0))/$D$11,0)</f>
        <v>41.666666666666664</v>
      </c>
      <c r="H46" s="91"/>
      <c r="I46" s="91">
        <f>IFERROR((ROUNDUP((ROUNDUP($D$8/$D$10,0))/$D$17,0))/$D$11,0)</f>
        <v>104.16666666666667</v>
      </c>
      <c r="J46" s="91"/>
      <c r="K46" s="91">
        <f>IFERROR((ROUNDUP((ROUNDUP((ROUNDUP($D$8/$D$10,0))/$D$17,0))/$D$16,0))/$D$11,0)</f>
        <v>2083.3333333333335</v>
      </c>
      <c r="L46" s="91"/>
      <c r="M46" s="91">
        <f>IFERROR((ROUNDUP((ROUNDUP((ROUNDUP((ROUNDUP($D$8/$D$10,0))/$D$17,0))/$D$16,0))/$D$15,0))/$D$11,0)</f>
        <v>104166.66666666667</v>
      </c>
      <c r="N46" s="91"/>
      <c r="O46" s="91"/>
    </row>
    <row r="47" spans="2:15" ht="21" customHeight="1" x14ac:dyDescent="0.25">
      <c r="B47" s="43" t="s">
        <v>67</v>
      </c>
      <c r="C47" s="43"/>
      <c r="D47" s="88">
        <f>IFERROR($D$8/$D$13,0)</f>
        <v>19230.76923076923</v>
      </c>
      <c r="E47" s="88"/>
      <c r="F47" s="88"/>
      <c r="G47" s="89">
        <f>IFERROR((ROUNDUP($D$8/$D$10,0))/$D$13,0)</f>
        <v>9.615384615384615</v>
      </c>
      <c r="H47" s="89"/>
      <c r="I47" s="89">
        <f>IFERROR((ROUNDUP((ROUNDUP($D$8/$D$10,0))/$D$17,0))/$D$13,0)</f>
        <v>24.03846153846154</v>
      </c>
      <c r="J47" s="89"/>
      <c r="K47" s="89">
        <f>IFERROR((ROUNDUP((ROUNDUP((ROUNDUP($D$8/$D$10,0))/$D$17,0))/$D$16,0))/$D$13,0)</f>
        <v>480.76923076923077</v>
      </c>
      <c r="L47" s="89"/>
      <c r="M47" s="89">
        <f>IFERROR((ROUNDUP((ROUNDUP((ROUNDUP((ROUNDUP($D$8/$D$10,0))/$D$17,0))/$D$16,0))/$D$15,0))/$D$13,0)</f>
        <v>24038.461538461539</v>
      </c>
      <c r="N47" s="89"/>
      <c r="O47" s="89"/>
    </row>
    <row r="48" spans="2:15" ht="21" customHeight="1" x14ac:dyDescent="0.25">
      <c r="B48" s="45" t="s">
        <v>68</v>
      </c>
      <c r="C48" s="45"/>
      <c r="D48" s="90">
        <f>IFERROR($D$8/$D$14,0)</f>
        <v>3846.1538461538462</v>
      </c>
      <c r="E48" s="90"/>
      <c r="F48" s="90"/>
      <c r="G48" s="91">
        <f>IFERROR((ROUNDUP($D$8/$D$10,0))/$D$14,0)</f>
        <v>1.9230769230769231</v>
      </c>
      <c r="H48" s="91"/>
      <c r="I48" s="91">
        <f>IFERROR((ROUNDUP((ROUNDUP($D$8/$D$10,0))/$D$17,0))/$D$14,0)</f>
        <v>4.8076923076923075</v>
      </c>
      <c r="J48" s="91"/>
      <c r="K48" s="91">
        <f>IFERROR((ROUNDUP((ROUNDUP((ROUNDUP($D$8/$D$10,0))/$D$17,0))/$D$16,0))/$D$14,0)</f>
        <v>96.15384615384616</v>
      </c>
      <c r="L48" s="91"/>
      <c r="M48" s="91">
        <f>IFERROR((ROUNDUP((ROUNDUP((ROUNDUP((ROUNDUP($D$8/$D$10,0))/$D$17,0))/$D$16,0))/$D$15,0))/$D$14,0)</f>
        <v>4807.6923076923076</v>
      </c>
      <c r="N48" s="91"/>
      <c r="O48" s="91"/>
    </row>
    <row r="49" spans="2:15" ht="21" customHeight="1" x14ac:dyDescent="0.25"/>
    <row r="50" spans="2:15" ht="21" customHeight="1" x14ac:dyDescent="0.25"/>
    <row r="51" spans="2:15" ht="21" customHeight="1" x14ac:dyDescent="0.25">
      <c r="B51" s="41" t="s">
        <v>69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2" spans="2:15" ht="21" customHeight="1" x14ac:dyDescent="0.25"/>
    <row r="53" spans="2:15" ht="21" customHeight="1" x14ac:dyDescent="0.25">
      <c r="B53" s="42" t="s">
        <v>60</v>
      </c>
      <c r="C53" s="42"/>
      <c r="D53" s="42" t="s">
        <v>70</v>
      </c>
      <c r="E53" s="42"/>
      <c r="F53" s="42"/>
      <c r="G53" s="42" t="s">
        <v>98</v>
      </c>
      <c r="H53" s="42"/>
      <c r="I53" s="42" t="s">
        <v>99</v>
      </c>
      <c r="J53" s="42"/>
      <c r="K53" s="42" t="s">
        <v>100</v>
      </c>
      <c r="L53" s="42"/>
      <c r="M53" s="42" t="s">
        <v>73</v>
      </c>
      <c r="N53" s="42"/>
      <c r="O53" s="42"/>
    </row>
    <row r="54" spans="2:15" ht="21" customHeight="1" x14ac:dyDescent="0.25">
      <c r="B54" s="43" t="s">
        <v>65</v>
      </c>
      <c r="C54" s="43"/>
      <c r="D54" s="88">
        <f>IFERROR((MAX($D$8-$D$9,0))/1,0)</f>
        <v>400000</v>
      </c>
      <c r="E54" s="88"/>
      <c r="F54" s="88"/>
      <c r="G54" s="89">
        <f>IFERROR((ROUNDUP((MAX($D$8-$D$9,0))/$D$10,0))/1,0)</f>
        <v>200</v>
      </c>
      <c r="H54" s="89"/>
      <c r="I54" s="89">
        <f>IFERROR((ROUNDUP((ROUNDUP((MAX($D$8-$D$9,0))/$D$10,0))/$D$17,0))/1,0)</f>
        <v>500</v>
      </c>
      <c r="J54" s="89"/>
      <c r="K54" s="89">
        <f>IFERROR((ROUNDUP((ROUNDUP((ROUNDUP((MAX($D$8-$D$9,0))/$D$10,0))/$D$17,0))/$D$16,0))/1,0)</f>
        <v>10000</v>
      </c>
      <c r="L54" s="89"/>
      <c r="M54" s="89">
        <f>IFERROR((ROUNDUP((ROUNDUP((ROUNDUP((ROUNDUP((MAX($D$8-$D$9,0))/$D$10,0))/$D$17,0))/$D$16,0))/$D$15,0))/1,0)</f>
        <v>500000</v>
      </c>
      <c r="N54" s="89"/>
      <c r="O54" s="89"/>
    </row>
    <row r="55" spans="2:15" ht="21" customHeight="1" x14ac:dyDescent="0.25">
      <c r="B55" s="45" t="s">
        <v>66</v>
      </c>
      <c r="C55" s="45"/>
      <c r="D55" s="90">
        <f>IFERROR((MAX($D$8-$D$9,0))/$D$11,0)</f>
        <v>33333.333333333336</v>
      </c>
      <c r="E55" s="90"/>
      <c r="F55" s="90"/>
      <c r="G55" s="91">
        <f>IFERROR((ROUNDUP((MAX($D$8-$D$9,0))/$D$10,0))/$D$11,0)</f>
        <v>16.666666666666668</v>
      </c>
      <c r="H55" s="91"/>
      <c r="I55" s="91">
        <f>IFERROR((ROUNDUP((ROUNDUP((MAX($D$8-$D$9,0))/$D$10,0))/$D$17,0))/$D$11,0)</f>
        <v>41.666666666666664</v>
      </c>
      <c r="J55" s="91"/>
      <c r="K55" s="91">
        <f>IFERROR((ROUNDUP((ROUNDUP((ROUNDUP((MAX($D$8-$D$9,0))/$D$10,0))/$D$17,0))/$D$16,0))/$D$11,0)</f>
        <v>833.33333333333337</v>
      </c>
      <c r="L55" s="91"/>
      <c r="M55" s="91">
        <f>IFERROR((ROUNDUP((ROUNDUP((ROUNDUP((ROUNDUP((MAX($D$8-$D$9,0))/$D$10,0))/$D$17,0))/$D$16,0))/$D$15,0))/$D$11,0)</f>
        <v>41666.666666666664</v>
      </c>
      <c r="N55" s="91"/>
      <c r="O55" s="91"/>
    </row>
    <row r="56" spans="2:15" ht="21" customHeight="1" x14ac:dyDescent="0.25">
      <c r="B56" s="43" t="s">
        <v>67</v>
      </c>
      <c r="C56" s="43"/>
      <c r="D56" s="88">
        <f>IFERROR((MAX($D$8-$D$9,0))/$D$13,0)</f>
        <v>7692.3076923076924</v>
      </c>
      <c r="E56" s="88"/>
      <c r="F56" s="88"/>
      <c r="G56" s="89">
        <f>IFERROR((ROUNDUP((MAX($D$8-$D$9,0))/$D$10,0))/$D$13,0)</f>
        <v>3.8461538461538463</v>
      </c>
      <c r="H56" s="89"/>
      <c r="I56" s="89">
        <f>IFERROR((ROUNDUP((ROUNDUP((MAX($D$8-$D$9,0))/$D$10,0))/$D$17,0))/$D$13,0)</f>
        <v>9.615384615384615</v>
      </c>
      <c r="J56" s="89"/>
      <c r="K56" s="89">
        <f>IFERROR((ROUNDUP((ROUNDUP((ROUNDUP((MAX($D$8-$D$9,0))/$D$10,0))/$D$17,0))/$D$16,0))/$D$13,0)</f>
        <v>192.30769230769232</v>
      </c>
      <c r="L56" s="89"/>
      <c r="M56" s="89">
        <f>IFERROR((ROUNDUP((ROUNDUP((ROUNDUP((ROUNDUP((MAX($D$8-$D$9,0))/$D$10,0))/$D$17,0))/$D$16,0))/$D$15,0))/$D$13,0)</f>
        <v>9615.3846153846152</v>
      </c>
      <c r="N56" s="89"/>
      <c r="O56" s="89"/>
    </row>
    <row r="57" spans="2:15" ht="21" customHeight="1" x14ac:dyDescent="0.25">
      <c r="B57" s="45" t="s">
        <v>68</v>
      </c>
      <c r="C57" s="45"/>
      <c r="D57" s="90">
        <f>IFERROR((MAX($D$8-$D$9,0))/$D$14,0)</f>
        <v>1538.4615384615386</v>
      </c>
      <c r="E57" s="90"/>
      <c r="F57" s="90"/>
      <c r="G57" s="91">
        <f>IFERROR((ROUNDUP((MAX($D$8-$D$9,0))/$D$10,0))/$D$14,0)</f>
        <v>0.76923076923076927</v>
      </c>
      <c r="H57" s="91"/>
      <c r="I57" s="91">
        <f>IFERROR((ROUNDUP((ROUNDUP((MAX($D$8-$D$9,0))/$D$10,0))/$D$17,0))/$D$14,0)</f>
        <v>1.9230769230769231</v>
      </c>
      <c r="J57" s="91"/>
      <c r="K57" s="91">
        <f>IFERROR((ROUNDUP((ROUNDUP((ROUNDUP((MAX($D$8-$D$9,0))/$D$10,0))/$D$17,0))/$D$16,0))/$D$14,0)</f>
        <v>38.46153846153846</v>
      </c>
      <c r="L57" s="91"/>
      <c r="M57" s="91">
        <f>IFERROR((ROUNDUP((ROUNDUP((ROUNDUP((ROUNDUP((MAX($D$8-$D$9,0))/$D$10,0))/$D$17,0))/$D$16,0))/$D$15,0))/$D$14,0)</f>
        <v>1923.0769230769231</v>
      </c>
      <c r="N57" s="91"/>
      <c r="O57" s="91"/>
    </row>
    <row r="58" spans="2:15" ht="21" customHeight="1" x14ac:dyDescent="0.25"/>
    <row r="59" spans="2:15" ht="21" customHeight="1" x14ac:dyDescent="0.25"/>
    <row r="60" spans="2:15" ht="21" customHeight="1" x14ac:dyDescent="0.25">
      <c r="B60" s="103" t="s">
        <v>198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</row>
    <row r="61" spans="2:15" ht="21" customHeight="1" x14ac:dyDescent="0.2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</row>
    <row r="62" spans="2:15" ht="21" customHeight="1" x14ac:dyDescent="0.25"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</row>
    <row r="63" spans="2:15" ht="21" customHeight="1" x14ac:dyDescent="0.2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</row>
    <row r="64" spans="2:15" ht="21" customHeight="1" x14ac:dyDescent="0.25"/>
    <row r="65" spans="2:15" ht="21" customHeight="1" x14ac:dyDescent="0.25">
      <c r="B65" s="93" t="s">
        <v>75</v>
      </c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</row>
  </sheetData>
  <mergeCells count="125">
    <mergeCell ref="B57:C57"/>
    <mergeCell ref="D57:F57"/>
    <mergeCell ref="G57:H57"/>
    <mergeCell ref="I57:J57"/>
    <mergeCell ref="K57:L57"/>
    <mergeCell ref="M57:O57"/>
    <mergeCell ref="B60:O63"/>
    <mergeCell ref="B65:O65"/>
    <mergeCell ref="B28:O28"/>
    <mergeCell ref="I37:K37"/>
    <mergeCell ref="B55:C55"/>
    <mergeCell ref="D55:F55"/>
    <mergeCell ref="G55:H55"/>
    <mergeCell ref="I55:J55"/>
    <mergeCell ref="K55:L55"/>
    <mergeCell ref="M55:O55"/>
    <mergeCell ref="B56:C56"/>
    <mergeCell ref="D56:F56"/>
    <mergeCell ref="G56:H56"/>
    <mergeCell ref="I56:J56"/>
    <mergeCell ref="K56:L56"/>
    <mergeCell ref="M56:O56"/>
    <mergeCell ref="B51:O51"/>
    <mergeCell ref="B53:C53"/>
    <mergeCell ref="D53:F53"/>
    <mergeCell ref="G53:H53"/>
    <mergeCell ref="I53:J53"/>
    <mergeCell ref="K53:L53"/>
    <mergeCell ref="M53:O53"/>
    <mergeCell ref="B54:C54"/>
    <mergeCell ref="D54:F54"/>
    <mergeCell ref="G54:H54"/>
    <mergeCell ref="I54:J54"/>
    <mergeCell ref="K54:L54"/>
    <mergeCell ref="M54:O54"/>
    <mergeCell ref="B47:C47"/>
    <mergeCell ref="D47:F47"/>
    <mergeCell ref="G47:H47"/>
    <mergeCell ref="I47:J47"/>
    <mergeCell ref="K47:L47"/>
    <mergeCell ref="M47:O47"/>
    <mergeCell ref="B48:C48"/>
    <mergeCell ref="D48:F48"/>
    <mergeCell ref="G48:H48"/>
    <mergeCell ref="I48:J48"/>
    <mergeCell ref="K48:L48"/>
    <mergeCell ref="M48:O48"/>
    <mergeCell ref="B45:C45"/>
    <mergeCell ref="D45:F45"/>
    <mergeCell ref="G45:H45"/>
    <mergeCell ref="I45:J45"/>
    <mergeCell ref="K45:L45"/>
    <mergeCell ref="M45:O45"/>
    <mergeCell ref="B46:C46"/>
    <mergeCell ref="D46:F46"/>
    <mergeCell ref="G46:H46"/>
    <mergeCell ref="I46:J46"/>
    <mergeCell ref="K46:L46"/>
    <mergeCell ref="M46:O46"/>
    <mergeCell ref="B24:D24"/>
    <mergeCell ref="E24:G24"/>
    <mergeCell ref="H24:K24"/>
    <mergeCell ref="L24:O24"/>
    <mergeCell ref="B26:O26"/>
    <mergeCell ref="B42:O42"/>
    <mergeCell ref="B44:C44"/>
    <mergeCell ref="D44:F44"/>
    <mergeCell ref="G44:H44"/>
    <mergeCell ref="I44:J44"/>
    <mergeCell ref="K44:L44"/>
    <mergeCell ref="M44:O44"/>
    <mergeCell ref="B19:O19"/>
    <mergeCell ref="B21:D21"/>
    <mergeCell ref="E21:G21"/>
    <mergeCell ref="H21:K21"/>
    <mergeCell ref="L21:O21"/>
    <mergeCell ref="B22:D23"/>
    <mergeCell ref="E22:G23"/>
    <mergeCell ref="H22:K23"/>
    <mergeCell ref="L22:O23"/>
    <mergeCell ref="B14:C14"/>
    <mergeCell ref="D14:E14"/>
    <mergeCell ref="B15:C15"/>
    <mergeCell ref="D15:E15"/>
    <mergeCell ref="G15:I15"/>
    <mergeCell ref="J15:L15"/>
    <mergeCell ref="M15:O15"/>
    <mergeCell ref="B16:C16"/>
    <mergeCell ref="D16:E16"/>
    <mergeCell ref="G16:I17"/>
    <mergeCell ref="J16:L17"/>
    <mergeCell ref="M16:O17"/>
    <mergeCell ref="B17:C17"/>
    <mergeCell ref="D17:E17"/>
    <mergeCell ref="B11:C11"/>
    <mergeCell ref="D11:E11"/>
    <mergeCell ref="G11:I11"/>
    <mergeCell ref="J11:L11"/>
    <mergeCell ref="M11:O11"/>
    <mergeCell ref="B12:C12"/>
    <mergeCell ref="D12:E12"/>
    <mergeCell ref="G12:I13"/>
    <mergeCell ref="J12:L13"/>
    <mergeCell ref="M12:O13"/>
    <mergeCell ref="B13:C13"/>
    <mergeCell ref="D13:E13"/>
    <mergeCell ref="B8:C8"/>
    <mergeCell ref="D8:E8"/>
    <mergeCell ref="G8:I9"/>
    <mergeCell ref="J8:L9"/>
    <mergeCell ref="M8:O9"/>
    <mergeCell ref="B9:C9"/>
    <mergeCell ref="D9:E9"/>
    <mergeCell ref="B10:C10"/>
    <mergeCell ref="D10:E10"/>
    <mergeCell ref="B1:O2"/>
    <mergeCell ref="B3:O3"/>
    <mergeCell ref="B4:O4"/>
    <mergeCell ref="B6:E6"/>
    <mergeCell ref="G6:O6"/>
    <mergeCell ref="B7:C7"/>
    <mergeCell ref="D7:E7"/>
    <mergeCell ref="G7:I7"/>
    <mergeCell ref="J7:L7"/>
    <mergeCell ref="M7:O7"/>
  </mergeCells>
  <dataValidations count="5">
    <dataValidation type="decimal" operator="greaterThan" showInputMessage="1" showErrorMessage="1" errorTitle="Dato no válido" error="Introduce un número mayor que cero." promptTitle="Dato editable" prompt="Modifica esta celda amarilla con los datos reales de tu empresa." sqref="D8 D10" xr:uid="{00000000-0002-0000-0200-000000000000}">
      <formula1>0</formula1>
      <formula2>0</formula2>
    </dataValidation>
    <dataValidation type="decimal" operator="greaterThanOrEqual" showInputMessage="1" showErrorMessage="1" errorTitle="Dato no válido" error="Introduce un número igual o mayor que cero." promptTitle="Dato editable" prompt="Modifica esta celda amarilla con los datos reales de tu empresa." sqref="D9" xr:uid="{00000000-0002-0000-0200-000001000000}">
      <formula1>0</formula1>
      <formula2>0</formula2>
    </dataValidation>
    <dataValidation type="whole" showInputMessage="1" showErrorMessage="1" errorTitle="Dato no válido" error="Los meses activos deben estar entre 1 y 12." promptTitle="Dato editable" prompt="Modifica esta celda amarilla con los datos reales de tu empresa." sqref="D11" xr:uid="{00000000-0002-0000-0200-000002000000}">
      <formula1>1</formula1>
      <formula2>12</formula2>
    </dataValidation>
    <dataValidation type="whole" showInputMessage="1" showErrorMessage="1" errorTitle="Dato no válido" error="Los días por semana deben estar entre 1 y 7." promptTitle="Dato editable" prompt="Modifica esta celda amarilla con los datos reales de tu empresa." sqref="D12" xr:uid="{00000000-0002-0000-0200-000003000000}">
      <formula1>1</formula1>
      <formula2>7</formula2>
    </dataValidation>
    <dataValidation type="decimal" showInputMessage="1" showErrorMessage="1" errorTitle="Dato no válido" error="Introduce un porcentaje mayor que 0 % y hasta 100 %." promptTitle="Dato editable" prompt="Modifica esta celda amarilla con los datos reales de tu empresa." sqref="D15:D17" xr:uid="{00000000-0002-0000-0200-000004000000}">
      <formula1>0.0001</formula1>
      <formula2>1</formula2>
    </dataValidation>
  </dataValidations>
  <printOptions horizontalCentered="1"/>
  <pageMargins left="0.75" right="0.75" top="1" bottom="1" header="0.511811023622047" footer="0.5"/>
  <pageSetup paperSize="9" fitToHeight="2" orientation="landscape" horizontalDpi="300" verticalDpi="300" r:id="rId1"/>
  <headerFooter>
    <oddFooter>&amp;C&amp;8 Rafael Bonilla 10+ · Método All In One&amp;R&amp;8 Página &amp;P de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51B2A"/>
    <pageSetUpPr fitToPage="1"/>
  </sheetPr>
  <dimension ref="B1:O42"/>
  <sheetViews>
    <sheetView showGridLines="0" zoomScale="85" zoomScaleNormal="85" workbookViewId="0">
      <pane xSplit="1" ySplit="8" topLeftCell="B14" activePane="bottomRight" state="frozen"/>
      <selection pane="topRight" activeCell="B1" sqref="B1"/>
      <selection pane="bottomLeft" activeCell="A9" sqref="A9"/>
      <selection pane="bottomRight" activeCell="B5" sqref="B4:O5"/>
    </sheetView>
  </sheetViews>
  <sheetFormatPr baseColWidth="10" defaultColWidth="8.7109375" defaultRowHeight="15" x14ac:dyDescent="0.25"/>
  <cols>
    <col min="1" max="1" width="2" customWidth="1"/>
    <col min="2" max="2" width="17" customWidth="1"/>
    <col min="3" max="3" width="11" customWidth="1"/>
    <col min="4" max="5" width="13" customWidth="1"/>
    <col min="6" max="6" width="2" customWidth="1"/>
    <col min="7" max="15" width="13" customWidth="1"/>
  </cols>
  <sheetData>
    <row r="1" spans="2:15" ht="21" customHeight="1" x14ac:dyDescent="0.25"/>
    <row r="2" spans="2:15" ht="33" customHeight="1" x14ac:dyDescent="0.25">
      <c r="B2" s="38" t="s">
        <v>101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33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7" customHeight="1" x14ac:dyDescent="0.25">
      <c r="B4" s="39" t="s">
        <v>102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5" ht="24.75" customHeight="1" x14ac:dyDescent="0.25">
      <c r="B5" s="40" t="s">
        <v>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5" ht="21" customHeight="1" x14ac:dyDescent="0.25"/>
    <row r="7" spans="2:15" ht="21" customHeight="1" x14ac:dyDescent="0.25">
      <c r="B7" s="41" t="s">
        <v>34</v>
      </c>
      <c r="C7" s="41"/>
      <c r="D7" s="41"/>
      <c r="E7" s="41"/>
    </row>
    <row r="8" spans="2:15" ht="21" customHeight="1" x14ac:dyDescent="0.25">
      <c r="B8" s="67" t="s">
        <v>103</v>
      </c>
      <c r="C8" s="67"/>
      <c r="D8" s="71">
        <v>600000</v>
      </c>
      <c r="E8" s="71"/>
    </row>
    <row r="9" spans="2:15" ht="21" customHeight="1" x14ac:dyDescent="0.25"/>
    <row r="10" spans="2:15" ht="21" customHeight="1" x14ac:dyDescent="0.25">
      <c r="B10" s="41" t="s">
        <v>104</v>
      </c>
      <c r="C10" s="41"/>
      <c r="D10" s="41"/>
      <c r="E10" s="41"/>
      <c r="F10" s="41"/>
      <c r="G10" s="41"/>
      <c r="H10" s="41"/>
      <c r="I10" s="107" t="s">
        <v>105</v>
      </c>
      <c r="J10" s="107"/>
      <c r="K10" s="107"/>
      <c r="L10" s="107"/>
      <c r="M10" s="107"/>
      <c r="N10" s="107"/>
      <c r="O10" s="107"/>
    </row>
    <row r="11" spans="2:15" ht="21" customHeight="1" x14ac:dyDescent="0.25"/>
    <row r="12" spans="2:15" ht="21" customHeight="1" x14ac:dyDescent="0.25">
      <c r="B12" s="42" t="s">
        <v>106</v>
      </c>
      <c r="C12" s="42"/>
      <c r="D12" s="42" t="s">
        <v>107</v>
      </c>
      <c r="E12" s="42"/>
      <c r="F12" s="42"/>
      <c r="G12" s="42" t="s">
        <v>108</v>
      </c>
      <c r="H12" s="42"/>
      <c r="I12" s="42" t="s">
        <v>109</v>
      </c>
      <c r="J12" s="42"/>
      <c r="K12" s="42" t="s">
        <v>110</v>
      </c>
      <c r="L12" s="42"/>
      <c r="M12" s="42"/>
      <c r="N12" s="42" t="s">
        <v>108</v>
      </c>
      <c r="O12" s="42"/>
    </row>
    <row r="13" spans="2:15" ht="21" customHeight="1" x14ac:dyDescent="0.25">
      <c r="B13" s="110">
        <v>1</v>
      </c>
      <c r="C13" s="110"/>
      <c r="D13" s="111">
        <f t="shared" ref="D13:D18" si="0">$D$8/B13</f>
        <v>600000</v>
      </c>
      <c r="E13" s="111"/>
      <c r="F13" s="111"/>
      <c r="G13" s="88">
        <f t="shared" ref="G13:G18" si="1">B13*D13</f>
        <v>600000</v>
      </c>
      <c r="H13" s="88"/>
      <c r="I13" s="110">
        <v>1</v>
      </c>
      <c r="J13" s="110"/>
      <c r="K13" s="111">
        <f t="shared" ref="K13:K18" si="2">$D$8/12/I13</f>
        <v>50000</v>
      </c>
      <c r="L13" s="111"/>
      <c r="M13" s="111"/>
      <c r="N13" s="88">
        <f t="shared" ref="N13:N18" si="3">I13*K13*12</f>
        <v>600000</v>
      </c>
      <c r="O13" s="88"/>
    </row>
    <row r="14" spans="2:15" ht="21" customHeight="1" x14ac:dyDescent="0.25">
      <c r="B14" s="108">
        <v>10</v>
      </c>
      <c r="C14" s="108"/>
      <c r="D14" s="109">
        <f t="shared" si="0"/>
        <v>60000</v>
      </c>
      <c r="E14" s="109"/>
      <c r="F14" s="109"/>
      <c r="G14" s="90">
        <f t="shared" si="1"/>
        <v>600000</v>
      </c>
      <c r="H14" s="90"/>
      <c r="I14" s="108">
        <v>10</v>
      </c>
      <c r="J14" s="108"/>
      <c r="K14" s="109">
        <f t="shared" si="2"/>
        <v>5000</v>
      </c>
      <c r="L14" s="109"/>
      <c r="M14" s="109"/>
      <c r="N14" s="90">
        <f t="shared" si="3"/>
        <v>600000</v>
      </c>
      <c r="O14" s="90"/>
    </row>
    <row r="15" spans="2:15" ht="21" customHeight="1" x14ac:dyDescent="0.25">
      <c r="B15" s="110">
        <v>100</v>
      </c>
      <c r="C15" s="110"/>
      <c r="D15" s="111">
        <f t="shared" si="0"/>
        <v>6000</v>
      </c>
      <c r="E15" s="111"/>
      <c r="F15" s="111"/>
      <c r="G15" s="88">
        <f t="shared" si="1"/>
        <v>600000</v>
      </c>
      <c r="H15" s="88"/>
      <c r="I15" s="110">
        <v>100</v>
      </c>
      <c r="J15" s="110"/>
      <c r="K15" s="111">
        <f t="shared" si="2"/>
        <v>500</v>
      </c>
      <c r="L15" s="111"/>
      <c r="M15" s="111"/>
      <c r="N15" s="88">
        <f t="shared" si="3"/>
        <v>600000</v>
      </c>
      <c r="O15" s="88"/>
    </row>
    <row r="16" spans="2:15" ht="21" customHeight="1" x14ac:dyDescent="0.25">
      <c r="B16" s="108">
        <v>1000</v>
      </c>
      <c r="C16" s="108"/>
      <c r="D16" s="109">
        <f t="shared" si="0"/>
        <v>600</v>
      </c>
      <c r="E16" s="109"/>
      <c r="F16" s="109"/>
      <c r="G16" s="90">
        <f t="shared" si="1"/>
        <v>600000</v>
      </c>
      <c r="H16" s="90"/>
      <c r="I16" s="108">
        <v>1000</v>
      </c>
      <c r="J16" s="108"/>
      <c r="K16" s="109">
        <f t="shared" si="2"/>
        <v>50</v>
      </c>
      <c r="L16" s="109"/>
      <c r="M16" s="109"/>
      <c r="N16" s="90">
        <f t="shared" si="3"/>
        <v>600000</v>
      </c>
      <c r="O16" s="90"/>
    </row>
    <row r="17" spans="2:15" ht="21" customHeight="1" x14ac:dyDescent="0.25">
      <c r="B17" s="110">
        <v>10000</v>
      </c>
      <c r="C17" s="110"/>
      <c r="D17" s="111">
        <f t="shared" si="0"/>
        <v>60</v>
      </c>
      <c r="E17" s="111"/>
      <c r="F17" s="111"/>
      <c r="G17" s="88">
        <f t="shared" si="1"/>
        <v>600000</v>
      </c>
      <c r="H17" s="88"/>
      <c r="I17" s="110">
        <v>10000</v>
      </c>
      <c r="J17" s="110"/>
      <c r="K17" s="111">
        <f t="shared" si="2"/>
        <v>5</v>
      </c>
      <c r="L17" s="111"/>
      <c r="M17" s="111"/>
      <c r="N17" s="88">
        <f t="shared" si="3"/>
        <v>600000</v>
      </c>
      <c r="O17" s="88"/>
    </row>
    <row r="18" spans="2:15" ht="21" customHeight="1" x14ac:dyDescent="0.25">
      <c r="B18" s="108">
        <v>100000</v>
      </c>
      <c r="C18" s="108"/>
      <c r="D18" s="109">
        <f t="shared" si="0"/>
        <v>6</v>
      </c>
      <c r="E18" s="109"/>
      <c r="F18" s="109"/>
      <c r="G18" s="90">
        <f t="shared" si="1"/>
        <v>600000</v>
      </c>
      <c r="H18" s="90"/>
      <c r="I18" s="108">
        <v>100000</v>
      </c>
      <c r="J18" s="108"/>
      <c r="K18" s="109">
        <f t="shared" si="2"/>
        <v>0.5</v>
      </c>
      <c r="L18" s="109"/>
      <c r="M18" s="109"/>
      <c r="N18" s="90">
        <f t="shared" si="3"/>
        <v>600000</v>
      </c>
      <c r="O18" s="90"/>
    </row>
    <row r="19" spans="2:15" ht="21" customHeight="1" x14ac:dyDescent="0.25"/>
    <row r="20" spans="2:15" ht="21" customHeight="1" x14ac:dyDescent="0.25"/>
    <row r="21" spans="2:15" ht="21" customHeight="1" x14ac:dyDescent="0.25">
      <c r="B21" s="41" t="s">
        <v>111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2:15" ht="21" customHeight="1" x14ac:dyDescent="0.25"/>
    <row r="23" spans="2:15" ht="21" customHeight="1" x14ac:dyDescent="0.25">
      <c r="B23" s="42" t="s">
        <v>112</v>
      </c>
      <c r="C23" s="42"/>
      <c r="D23" s="42"/>
      <c r="E23" s="42" t="s">
        <v>113</v>
      </c>
      <c r="F23" s="42"/>
      <c r="G23" s="42" t="s">
        <v>114</v>
      </c>
      <c r="H23" s="42"/>
      <c r="I23" s="42" t="s">
        <v>115</v>
      </c>
      <c r="J23" s="42"/>
      <c r="K23" s="42" t="s">
        <v>116</v>
      </c>
      <c r="L23" s="42"/>
      <c r="M23" s="42"/>
      <c r="N23" s="42" t="s">
        <v>117</v>
      </c>
      <c r="O23" s="42"/>
    </row>
    <row r="24" spans="2:15" ht="21" customHeight="1" x14ac:dyDescent="0.25">
      <c r="B24" s="113" t="s">
        <v>118</v>
      </c>
      <c r="C24" s="113"/>
      <c r="D24" s="113"/>
      <c r="E24" s="114">
        <v>50</v>
      </c>
      <c r="F24" s="114"/>
      <c r="G24" s="115">
        <v>2000</v>
      </c>
      <c r="H24" s="115"/>
      <c r="I24" s="116">
        <v>1</v>
      </c>
      <c r="J24" s="116"/>
      <c r="K24" s="117">
        <f>E24*G24*I24</f>
        <v>100000</v>
      </c>
      <c r="L24" s="117"/>
      <c r="M24" s="117"/>
      <c r="N24" s="112">
        <f>IFERROR(K24/$D$8,0)</f>
        <v>0.16666666666666666</v>
      </c>
      <c r="O24" s="112"/>
    </row>
    <row r="25" spans="2:15" ht="21" customHeight="1" x14ac:dyDescent="0.25">
      <c r="B25" s="113" t="s">
        <v>119</v>
      </c>
      <c r="C25" s="113"/>
      <c r="D25" s="113"/>
      <c r="E25" s="114">
        <v>50</v>
      </c>
      <c r="F25" s="114"/>
      <c r="G25" s="115">
        <v>500</v>
      </c>
      <c r="H25" s="115"/>
      <c r="I25" s="116">
        <v>12</v>
      </c>
      <c r="J25" s="116"/>
      <c r="K25" s="117">
        <f>E25*G25*I25</f>
        <v>300000</v>
      </c>
      <c r="L25" s="117"/>
      <c r="M25" s="117"/>
      <c r="N25" s="112">
        <f>IFERROR(K25/$D$8,0)</f>
        <v>0.5</v>
      </c>
      <c r="O25" s="112"/>
    </row>
    <row r="26" spans="2:15" ht="21" customHeight="1" x14ac:dyDescent="0.25">
      <c r="B26" s="113" t="s">
        <v>120</v>
      </c>
      <c r="C26" s="113"/>
      <c r="D26" s="113"/>
      <c r="E26" s="114">
        <v>500</v>
      </c>
      <c r="F26" s="114"/>
      <c r="G26" s="115">
        <v>200</v>
      </c>
      <c r="H26" s="115"/>
      <c r="I26" s="116">
        <v>1</v>
      </c>
      <c r="J26" s="116"/>
      <c r="K26" s="117">
        <f>E26*G26*I26</f>
        <v>100000</v>
      </c>
      <c r="L26" s="117"/>
      <c r="M26" s="117"/>
      <c r="N26" s="112">
        <f>IFERROR(K26/$D$8,0)</f>
        <v>0.16666666666666666</v>
      </c>
      <c r="O26" s="112"/>
    </row>
    <row r="27" spans="2:15" ht="21" customHeight="1" x14ac:dyDescent="0.25">
      <c r="B27" s="113" t="s">
        <v>121</v>
      </c>
      <c r="C27" s="113"/>
      <c r="D27" s="113"/>
      <c r="E27" s="114">
        <v>10</v>
      </c>
      <c r="F27" s="114"/>
      <c r="G27" s="115">
        <v>10000</v>
      </c>
      <c r="H27" s="115"/>
      <c r="I27" s="116">
        <v>1</v>
      </c>
      <c r="J27" s="116"/>
      <c r="K27" s="117">
        <f>E27*G27*I27</f>
        <v>100000</v>
      </c>
      <c r="L27" s="117"/>
      <c r="M27" s="117"/>
      <c r="N27" s="112">
        <f>IFERROR(K27/$D$8,0)</f>
        <v>0.16666666666666666</v>
      </c>
      <c r="O27" s="112"/>
    </row>
    <row r="28" spans="2:15" ht="21" customHeight="1" x14ac:dyDescent="0.25">
      <c r="B28" s="113" t="s">
        <v>122</v>
      </c>
      <c r="C28" s="113"/>
      <c r="D28" s="113"/>
      <c r="E28" s="114">
        <v>0</v>
      </c>
      <c r="F28" s="114"/>
      <c r="G28" s="115">
        <v>0</v>
      </c>
      <c r="H28" s="115"/>
      <c r="I28" s="116">
        <v>1</v>
      </c>
      <c r="J28" s="116"/>
      <c r="K28" s="117">
        <f>E28*G28*I28</f>
        <v>0</v>
      </c>
      <c r="L28" s="117"/>
      <c r="M28" s="117"/>
      <c r="N28" s="112">
        <f>IFERROR(K28/$D$8,0)</f>
        <v>0</v>
      </c>
      <c r="O28" s="112"/>
    </row>
    <row r="29" spans="2:15" ht="21" customHeight="1" x14ac:dyDescent="0.25"/>
    <row r="30" spans="2:15" ht="21" customHeight="1" x14ac:dyDescent="0.25">
      <c r="B30" s="45" t="s">
        <v>123</v>
      </c>
      <c r="C30" s="45"/>
      <c r="D30" s="45"/>
      <c r="E30" s="45"/>
      <c r="F30" s="45"/>
      <c r="G30" s="45"/>
      <c r="H30" s="45"/>
      <c r="I30" s="45"/>
      <c r="J30" s="45"/>
      <c r="K30" s="118">
        <f>SUM(K24:K28)</f>
        <v>600000</v>
      </c>
      <c r="L30" s="118"/>
      <c r="M30" s="118"/>
      <c r="N30" s="119">
        <f>IFERROR(K30/$D$8,0)</f>
        <v>1</v>
      </c>
      <c r="O30" s="119"/>
    </row>
    <row r="31" spans="2:15" ht="21" customHeight="1" x14ac:dyDescent="0.25">
      <c r="B31" s="43" t="s">
        <v>124</v>
      </c>
      <c r="C31" s="43"/>
      <c r="D31" s="43"/>
      <c r="E31" s="43"/>
      <c r="F31" s="43"/>
      <c r="G31" s="43"/>
      <c r="H31" s="43"/>
      <c r="I31" s="43"/>
      <c r="J31" s="43"/>
      <c r="K31" s="120">
        <f>$D$8-K30</f>
        <v>0</v>
      </c>
      <c r="L31" s="120"/>
      <c r="M31" s="120"/>
      <c r="N31" s="121">
        <f>IFERROR(1-N30,0)</f>
        <v>0</v>
      </c>
      <c r="O31" s="121"/>
    </row>
    <row r="32" spans="2:15" ht="21" customHeight="1" x14ac:dyDescent="0.25"/>
    <row r="33" spans="2:15" ht="21" customHeight="1" x14ac:dyDescent="0.25"/>
    <row r="34" spans="2:15" ht="21" customHeight="1" x14ac:dyDescent="0.25">
      <c r="B34" s="65" t="s">
        <v>125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2:15" ht="21" customHeight="1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2:15" ht="21" customHeight="1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  <row r="37" spans="2:15" ht="21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</row>
    <row r="38" spans="2:15" ht="21" customHeight="1" x14ac:dyDescent="0.25"/>
    <row r="39" spans="2:15" ht="21" customHeight="1" x14ac:dyDescent="0.25"/>
    <row r="40" spans="2:15" ht="21" customHeight="1" x14ac:dyDescent="0.25">
      <c r="B40" s="93" t="s">
        <v>28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2:15" ht="21" customHeight="1" x14ac:dyDescent="0.25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</row>
    <row r="42" spans="2:15" ht="21" customHeight="1" x14ac:dyDescent="0.25"/>
  </sheetData>
  <mergeCells count="95">
    <mergeCell ref="B34:O37"/>
    <mergeCell ref="B40:O41"/>
    <mergeCell ref="N28:O28"/>
    <mergeCell ref="B30:J30"/>
    <mergeCell ref="K30:M30"/>
    <mergeCell ref="N30:O30"/>
    <mergeCell ref="B31:J31"/>
    <mergeCell ref="K31:M31"/>
    <mergeCell ref="N31:O31"/>
    <mergeCell ref="B28:D28"/>
    <mergeCell ref="E28:F28"/>
    <mergeCell ref="G28:H28"/>
    <mergeCell ref="I28:J28"/>
    <mergeCell ref="K28:M28"/>
    <mergeCell ref="N26:O26"/>
    <mergeCell ref="B27:D27"/>
    <mergeCell ref="E27:F27"/>
    <mergeCell ref="G27:H27"/>
    <mergeCell ref="I27:J27"/>
    <mergeCell ref="K27:M27"/>
    <mergeCell ref="N27:O27"/>
    <mergeCell ref="B26:D26"/>
    <mergeCell ref="E26:F26"/>
    <mergeCell ref="G26:H26"/>
    <mergeCell ref="I26:J26"/>
    <mergeCell ref="K26:M26"/>
    <mergeCell ref="N24:O24"/>
    <mergeCell ref="B25:D25"/>
    <mergeCell ref="E25:F25"/>
    <mergeCell ref="G25:H25"/>
    <mergeCell ref="I25:J25"/>
    <mergeCell ref="K25:M25"/>
    <mergeCell ref="N25:O25"/>
    <mergeCell ref="B24:D24"/>
    <mergeCell ref="E24:F24"/>
    <mergeCell ref="G24:H24"/>
    <mergeCell ref="I24:J24"/>
    <mergeCell ref="K24:M24"/>
    <mergeCell ref="B21:O21"/>
    <mergeCell ref="B23:D23"/>
    <mergeCell ref="E23:F23"/>
    <mergeCell ref="G23:H23"/>
    <mergeCell ref="I23:J23"/>
    <mergeCell ref="K23:M23"/>
    <mergeCell ref="N23:O23"/>
    <mergeCell ref="N17:O17"/>
    <mergeCell ref="B18:C18"/>
    <mergeCell ref="D18:F18"/>
    <mergeCell ref="G18:H18"/>
    <mergeCell ref="I18:J18"/>
    <mergeCell ref="K18:M18"/>
    <mergeCell ref="N18:O18"/>
    <mergeCell ref="B17:C17"/>
    <mergeCell ref="D17:F17"/>
    <mergeCell ref="G17:H17"/>
    <mergeCell ref="I17:J17"/>
    <mergeCell ref="K17:M17"/>
    <mergeCell ref="N15:O15"/>
    <mergeCell ref="B16:C16"/>
    <mergeCell ref="D16:F16"/>
    <mergeCell ref="G16:H16"/>
    <mergeCell ref="I16:J16"/>
    <mergeCell ref="K16:M16"/>
    <mergeCell ref="N16:O16"/>
    <mergeCell ref="B15:C15"/>
    <mergeCell ref="D15:F15"/>
    <mergeCell ref="G15:H15"/>
    <mergeCell ref="I15:J15"/>
    <mergeCell ref="K15:M15"/>
    <mergeCell ref="N13:O13"/>
    <mergeCell ref="B14:C14"/>
    <mergeCell ref="D14:F14"/>
    <mergeCell ref="G14:H14"/>
    <mergeCell ref="I14:J14"/>
    <mergeCell ref="K14:M14"/>
    <mergeCell ref="N14:O14"/>
    <mergeCell ref="B13:C13"/>
    <mergeCell ref="D13:F13"/>
    <mergeCell ref="G13:H13"/>
    <mergeCell ref="I13:J13"/>
    <mergeCell ref="K13:M13"/>
    <mergeCell ref="B10:H10"/>
    <mergeCell ref="I10:O10"/>
    <mergeCell ref="B12:C12"/>
    <mergeCell ref="D12:F12"/>
    <mergeCell ref="G12:H12"/>
    <mergeCell ref="I12:J12"/>
    <mergeCell ref="K12:M12"/>
    <mergeCell ref="N12:O12"/>
    <mergeCell ref="B2:O3"/>
    <mergeCell ref="B4:O4"/>
    <mergeCell ref="B5:O5"/>
    <mergeCell ref="B7:E7"/>
    <mergeCell ref="B8:C8"/>
    <mergeCell ref="D8:E8"/>
  </mergeCells>
  <conditionalFormatting sqref="K31">
    <cfRule type="expression" dxfId="0" priority="3">
      <formula>K31&lt;0</formula>
    </cfRule>
  </conditionalFormatting>
  <conditionalFormatting sqref="N30">
    <cfRule type="dataBar" priority="2">
      <dataBar>
        <cfvo type="num" val="0"/>
        <cfvo type="num" val="1"/>
        <color rgb="FFE51B2A"/>
      </dataBar>
      <extLst>
        <ext xmlns:x14="http://schemas.microsoft.com/office/spreadsheetml/2009/9/main" uri="{B025F937-C7B1-47D3-B67F-A62EFF666E3E}">
          <x14:id>{66438473-9BD0-4F8D-8245-25D4C5F5B23A}</x14:id>
        </ext>
      </extLst>
    </cfRule>
  </conditionalFormatting>
  <dataValidations count="3">
    <dataValidation type="decimal" operator="greaterThan" showInputMessage="1" showErrorMessage="1" errorTitle="Dato no válido" error="Introduce un número mayor que cero." promptTitle="Dato editable" prompt="Modifica esta celda amarilla con los datos reales de tu empresa." sqref="D8" xr:uid="{00000000-0002-0000-0300-000000000000}">
      <formula1>0</formula1>
      <formula2>0</formula2>
    </dataValidation>
    <dataValidation type="decimal" operator="greaterThanOrEqual" showInputMessage="1" showErrorMessage="1" errorTitle="Dato no válido" error="Introduce un número igual o mayor que cero." promptTitle="Dato editable" prompt="Modifica esta celda amarilla con los datos reales de tu empresa." sqref="E24:E28 G24:G28" xr:uid="{00000000-0002-0000-0300-000001000000}">
      <formula1>0</formula1>
      <formula2>0</formula2>
    </dataValidation>
    <dataValidation type="whole" showErrorMessage="1" error="Introduce entre 1 y 12 meses. Usa 1 para una venta única." sqref="I24:I28" xr:uid="{00000000-0002-0000-0300-000002000000}">
      <formula1>1</formula1>
      <formula2>12</formula2>
    </dataValidation>
  </dataValidations>
  <printOptions horizontalCentered="1"/>
  <pageMargins left="0.75" right="0.75" top="1" bottom="1" header="0.511811023622047" footer="0.5"/>
  <pageSetup paperSize="9" orientation="landscape" horizontalDpi="300" verticalDpi="300"/>
  <headerFooter>
    <oddFooter>&amp;C&amp;8 Rafael Bonilla 10+ · Método All In One&amp;R&amp;8 Página &amp;P de &amp;N</oddFooter>
  </headerFooter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438473-9BD0-4F8D-8245-25D4C5F5B23A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51B2A"/>
            </x14:dataBar>
          </x14:cfRule>
          <xm:sqref>N30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F6368"/>
    <pageSetUpPr fitToPage="1"/>
  </sheetPr>
  <dimension ref="B1:O50"/>
  <sheetViews>
    <sheetView showGridLines="0" tabSelected="1" zoomScale="120" zoomScaleNormal="12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5" sqref="B5:O5"/>
    </sheetView>
  </sheetViews>
  <sheetFormatPr baseColWidth="10" defaultColWidth="8.7109375" defaultRowHeight="15" x14ac:dyDescent="0.25"/>
  <cols>
    <col min="1" max="1" width="2" customWidth="1"/>
    <col min="2" max="2" width="17" customWidth="1"/>
    <col min="3" max="3" width="11" customWidth="1"/>
    <col min="4" max="5" width="13" customWidth="1"/>
    <col min="6" max="6" width="2" customWidth="1"/>
    <col min="7" max="15" width="13" customWidth="1"/>
  </cols>
  <sheetData>
    <row r="1" spans="2:15" ht="21" customHeight="1" x14ac:dyDescent="0.25"/>
    <row r="2" spans="2:15" ht="33" customHeight="1" x14ac:dyDescent="0.25">
      <c r="B2" s="38" t="s">
        <v>126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33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7" customHeight="1" x14ac:dyDescent="0.25">
      <c r="B4" s="39" t="s">
        <v>127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5" ht="24.75" customHeight="1" x14ac:dyDescent="0.25">
      <c r="B5" s="40" t="s">
        <v>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5" ht="21" customHeight="1" x14ac:dyDescent="0.25"/>
    <row r="7" spans="2:15" ht="21" customHeight="1" x14ac:dyDescent="0.25">
      <c r="B7" s="41" t="s">
        <v>128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ht="21" customHeight="1" x14ac:dyDescent="0.25"/>
    <row r="9" spans="2:15" ht="21" customHeight="1" x14ac:dyDescent="0.25">
      <c r="B9" s="42" t="s">
        <v>129</v>
      </c>
      <c r="C9" s="42"/>
      <c r="D9" s="42"/>
      <c r="E9" s="42" t="s">
        <v>130</v>
      </c>
      <c r="F9" s="42"/>
      <c r="G9" s="42"/>
      <c r="H9" s="42"/>
      <c r="I9" s="42" t="s">
        <v>131</v>
      </c>
      <c r="J9" s="42"/>
      <c r="K9" s="42"/>
      <c r="L9" s="42"/>
      <c r="M9" s="42" t="s">
        <v>132</v>
      </c>
      <c r="N9" s="42"/>
      <c r="O9" s="42"/>
    </row>
    <row r="10" spans="2:15" ht="21" customHeight="1" x14ac:dyDescent="0.25">
      <c r="B10" s="43" t="s">
        <v>3</v>
      </c>
      <c r="C10" s="43"/>
      <c r="D10" s="43"/>
      <c r="E10" s="44" t="s">
        <v>133</v>
      </c>
      <c r="F10" s="44"/>
      <c r="G10" s="44"/>
      <c r="H10" s="44"/>
      <c r="I10" s="44" t="s">
        <v>134</v>
      </c>
      <c r="J10" s="44"/>
      <c r="K10" s="44"/>
      <c r="L10" s="44"/>
      <c r="M10" s="44" t="s">
        <v>135</v>
      </c>
      <c r="N10" s="44"/>
      <c r="O10" s="44"/>
    </row>
    <row r="11" spans="2:15" ht="21" customHeight="1" x14ac:dyDescent="0.25">
      <c r="B11" s="45" t="s">
        <v>4</v>
      </c>
      <c r="C11" s="45"/>
      <c r="D11" s="45"/>
      <c r="E11" s="46" t="s">
        <v>136</v>
      </c>
      <c r="F11" s="46"/>
      <c r="G11" s="46"/>
      <c r="H11" s="46"/>
      <c r="I11" s="46" t="s">
        <v>137</v>
      </c>
      <c r="J11" s="46"/>
      <c r="K11" s="46"/>
      <c r="L11" s="46"/>
      <c r="M11" s="46" t="s">
        <v>138</v>
      </c>
      <c r="N11" s="46"/>
      <c r="O11" s="46"/>
    </row>
    <row r="12" spans="2:15" ht="21" customHeight="1" x14ac:dyDescent="0.25"/>
    <row r="13" spans="2:15" ht="21" customHeight="1" x14ac:dyDescent="0.25"/>
    <row r="14" spans="2:15" ht="21" customHeight="1" x14ac:dyDescent="0.25">
      <c r="B14" s="41" t="s">
        <v>139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2:15" ht="21" customHeight="1" x14ac:dyDescent="0.25"/>
    <row r="16" spans="2:15" ht="21" customHeight="1" x14ac:dyDescent="0.25">
      <c r="B16" s="43" t="s">
        <v>140</v>
      </c>
      <c r="C16" s="43"/>
      <c r="D16" s="43"/>
      <c r="E16" s="44" t="s">
        <v>141</v>
      </c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2:15" ht="21" customHeight="1" x14ac:dyDescent="0.25">
      <c r="B17" s="45" t="s">
        <v>142</v>
      </c>
      <c r="C17" s="45"/>
      <c r="D17" s="45"/>
      <c r="E17" s="46" t="s">
        <v>143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</row>
    <row r="18" spans="2:15" ht="21" customHeight="1" x14ac:dyDescent="0.25">
      <c r="B18" s="43" t="s">
        <v>144</v>
      </c>
      <c r="C18" s="43"/>
      <c r="D18" s="43"/>
      <c r="E18" s="44" t="s">
        <v>145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2:15" ht="21" customHeight="1" x14ac:dyDescent="0.25">
      <c r="B19" s="45" t="s">
        <v>146</v>
      </c>
      <c r="C19" s="45"/>
      <c r="D19" s="45"/>
      <c r="E19" s="46" t="s">
        <v>147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</row>
    <row r="20" spans="2:15" ht="21" customHeight="1" x14ac:dyDescent="0.25">
      <c r="B20" s="43" t="s">
        <v>148</v>
      </c>
      <c r="C20" s="43"/>
      <c r="D20" s="43"/>
      <c r="E20" s="44" t="s">
        <v>149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2:15" ht="21" customHeight="1" x14ac:dyDescent="0.25">
      <c r="B21" s="45" t="s">
        <v>150</v>
      </c>
      <c r="C21" s="45"/>
      <c r="D21" s="45"/>
      <c r="E21" s="46" t="s">
        <v>151</v>
      </c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2:15" ht="21" customHeight="1" x14ac:dyDescent="0.25">
      <c r="B22" s="43" t="s">
        <v>152</v>
      </c>
      <c r="C22" s="43"/>
      <c r="D22" s="43"/>
      <c r="E22" s="44" t="s">
        <v>153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 ht="21" customHeight="1" x14ac:dyDescent="0.25">
      <c r="B23" s="45" t="s">
        <v>154</v>
      </c>
      <c r="C23" s="45"/>
      <c r="D23" s="45"/>
      <c r="E23" s="46" t="s">
        <v>155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2:15" ht="21" customHeight="1" x14ac:dyDescent="0.25"/>
    <row r="25" spans="2:15" ht="21" customHeight="1" x14ac:dyDescent="0.25"/>
    <row r="26" spans="2:15" ht="21" customHeight="1" x14ac:dyDescent="0.25">
      <c r="B26" s="41" t="s">
        <v>156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  <row r="27" spans="2:15" ht="21" customHeight="1" x14ac:dyDescent="0.25"/>
    <row r="28" spans="2:15" ht="21" customHeight="1" x14ac:dyDescent="0.25">
      <c r="B28" s="43" t="s">
        <v>157</v>
      </c>
      <c r="C28" s="43"/>
      <c r="D28" s="43"/>
      <c r="E28" s="43"/>
      <c r="F28" s="44" t="s">
        <v>158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2:15" ht="21" customHeight="1" x14ac:dyDescent="0.25">
      <c r="B29" s="45" t="s">
        <v>159</v>
      </c>
      <c r="C29" s="45"/>
      <c r="D29" s="45"/>
      <c r="E29" s="45"/>
      <c r="F29" s="46" t="s">
        <v>160</v>
      </c>
      <c r="G29" s="46"/>
      <c r="H29" s="46"/>
      <c r="I29" s="46"/>
      <c r="J29" s="46"/>
      <c r="K29" s="46"/>
      <c r="L29" s="46"/>
      <c r="M29" s="46"/>
      <c r="N29" s="46"/>
      <c r="O29" s="46"/>
    </row>
    <row r="30" spans="2:15" ht="21" customHeight="1" x14ac:dyDescent="0.25">
      <c r="B30" s="43" t="s">
        <v>161</v>
      </c>
      <c r="C30" s="43"/>
      <c r="D30" s="43"/>
      <c r="E30" s="43"/>
      <c r="F30" s="44" t="s">
        <v>162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2:15" ht="21" customHeight="1" x14ac:dyDescent="0.25">
      <c r="B31" s="45" t="s">
        <v>163</v>
      </c>
      <c r="C31" s="45"/>
      <c r="D31" s="45"/>
      <c r="E31" s="45"/>
      <c r="F31" s="46" t="s">
        <v>164</v>
      </c>
      <c r="G31" s="46"/>
      <c r="H31" s="46"/>
      <c r="I31" s="46"/>
      <c r="J31" s="46"/>
      <c r="K31" s="46"/>
      <c r="L31" s="46"/>
      <c r="M31" s="46"/>
      <c r="N31" s="46"/>
      <c r="O31" s="46"/>
    </row>
    <row r="32" spans="2:15" ht="21" customHeight="1" x14ac:dyDescent="0.25">
      <c r="B32" s="43" t="s">
        <v>165</v>
      </c>
      <c r="C32" s="43"/>
      <c r="D32" s="43"/>
      <c r="E32" s="43"/>
      <c r="F32" s="44" t="s">
        <v>166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2:15" ht="21" customHeight="1" x14ac:dyDescent="0.25">
      <c r="B33" s="45" t="s">
        <v>167</v>
      </c>
      <c r="C33" s="45"/>
      <c r="D33" s="45"/>
      <c r="E33" s="45"/>
      <c r="F33" s="46" t="s">
        <v>168</v>
      </c>
      <c r="G33" s="46"/>
      <c r="H33" s="46"/>
      <c r="I33" s="46"/>
      <c r="J33" s="46"/>
      <c r="K33" s="46"/>
      <c r="L33" s="46"/>
      <c r="M33" s="46"/>
      <c r="N33" s="46"/>
      <c r="O33" s="46"/>
    </row>
    <row r="34" spans="2:15" ht="21" customHeight="1" x14ac:dyDescent="0.25">
      <c r="B34" s="43" t="s">
        <v>169</v>
      </c>
      <c r="C34" s="43"/>
      <c r="D34" s="43"/>
      <c r="E34" s="43"/>
      <c r="F34" s="44" t="s">
        <v>170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2:15" ht="21" customHeight="1" x14ac:dyDescent="0.25">
      <c r="B35" s="45" t="s">
        <v>171</v>
      </c>
      <c r="C35" s="45"/>
      <c r="D35" s="45"/>
      <c r="E35" s="45"/>
      <c r="F35" s="46" t="s">
        <v>172</v>
      </c>
      <c r="G35" s="46"/>
      <c r="H35" s="46"/>
      <c r="I35" s="46"/>
      <c r="J35" s="46"/>
      <c r="K35" s="46"/>
      <c r="L35" s="46"/>
      <c r="M35" s="46"/>
      <c r="N35" s="46"/>
      <c r="O35" s="46"/>
    </row>
    <row r="36" spans="2:15" ht="21" customHeight="1" x14ac:dyDescent="0.25"/>
    <row r="37" spans="2:15" ht="21" customHeight="1" x14ac:dyDescent="0.25"/>
    <row r="38" spans="2:15" ht="21" customHeight="1" x14ac:dyDescent="0.25">
      <c r="B38" s="41" t="s">
        <v>173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39" spans="2:15" ht="21" customHeight="1" x14ac:dyDescent="0.25"/>
    <row r="40" spans="2:15" ht="21" customHeight="1" x14ac:dyDescent="0.25">
      <c r="B40" s="47" t="s">
        <v>174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2:15" ht="21" customHeight="1" x14ac:dyDescent="0.25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2:15" ht="21" customHeight="1" x14ac:dyDescent="0.25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2:15" ht="21" customHeight="1" x14ac:dyDescent="0.25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2:15" ht="21" customHeight="1" x14ac:dyDescent="0.25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</row>
    <row r="45" spans="2:15" ht="21" customHeight="1" x14ac:dyDescent="0.25"/>
    <row r="46" spans="2:15" ht="21" customHeight="1" x14ac:dyDescent="0.25"/>
    <row r="47" spans="2:15" ht="21" customHeight="1" x14ac:dyDescent="0.25"/>
    <row r="48" spans="2:15" ht="21" customHeight="1" x14ac:dyDescent="0.25"/>
    <row r="49" ht="21" customHeight="1" x14ac:dyDescent="0.25"/>
    <row r="50" ht="21" customHeight="1" x14ac:dyDescent="0.25"/>
  </sheetData>
  <mergeCells count="52">
    <mergeCell ref="B38:O38"/>
    <mergeCell ref="B40:O44"/>
    <mergeCell ref="B33:E33"/>
    <mergeCell ref="F33:O33"/>
    <mergeCell ref="B34:E34"/>
    <mergeCell ref="F34:O34"/>
    <mergeCell ref="B35:E35"/>
    <mergeCell ref="F35:O35"/>
    <mergeCell ref="B30:E30"/>
    <mergeCell ref="F30:O30"/>
    <mergeCell ref="B31:E31"/>
    <mergeCell ref="F31:O31"/>
    <mergeCell ref="B32:E32"/>
    <mergeCell ref="F32:O32"/>
    <mergeCell ref="B26:O26"/>
    <mergeCell ref="B28:E28"/>
    <mergeCell ref="F28:O28"/>
    <mergeCell ref="B29:E29"/>
    <mergeCell ref="F29:O29"/>
    <mergeCell ref="B21:D21"/>
    <mergeCell ref="E21:O21"/>
    <mergeCell ref="B22:D22"/>
    <mergeCell ref="E22:O22"/>
    <mergeCell ref="B23:D23"/>
    <mergeCell ref="E23:O23"/>
    <mergeCell ref="B18:D18"/>
    <mergeCell ref="E18:O18"/>
    <mergeCell ref="B19:D19"/>
    <mergeCell ref="E19:O19"/>
    <mergeCell ref="B20:D20"/>
    <mergeCell ref="E20:O20"/>
    <mergeCell ref="B14:O14"/>
    <mergeCell ref="B16:D16"/>
    <mergeCell ref="E16:O16"/>
    <mergeCell ref="B17:D17"/>
    <mergeCell ref="E17:O17"/>
    <mergeCell ref="B10:D10"/>
    <mergeCell ref="E10:H10"/>
    <mergeCell ref="I10:L10"/>
    <mergeCell ref="M10:O10"/>
    <mergeCell ref="B11:D11"/>
    <mergeCell ref="E11:H11"/>
    <mergeCell ref="I11:L11"/>
    <mergeCell ref="M11:O11"/>
    <mergeCell ref="B2:O3"/>
    <mergeCell ref="B4:O4"/>
    <mergeCell ref="B5:O5"/>
    <mergeCell ref="B7:O7"/>
    <mergeCell ref="B9:D9"/>
    <mergeCell ref="E9:H9"/>
    <mergeCell ref="I9:L9"/>
    <mergeCell ref="M9:O9"/>
  </mergeCells>
  <printOptions horizontalCentered="1"/>
  <pageMargins left="0.75" right="0.75" top="1" bottom="1" header="0.511811023622047" footer="0.5"/>
  <pageSetup paperSize="9" fitToHeight="2" orientation="landscape" horizontalDpi="300" verticalDpi="300"/>
  <headerFooter>
    <oddFooter>&amp;C&amp;8 Rafael Bonilla 10+ · Método All In One&amp;R&amp;8 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EMPIEZA AQUÍ</vt:lpstr>
      <vt:lpstr>VENTA DIRECTA</vt:lpstr>
      <vt:lpstr>VENTA CON CIERRE</vt:lpstr>
      <vt:lpstr>FORMAS DE LLEGAR</vt:lpstr>
      <vt:lpstr>GUÍA Y FÓRMULAS</vt:lpstr>
      <vt:lpstr>'EMPIEZA AQUÍ'!Área_de_impresión</vt:lpstr>
      <vt:lpstr>'FORMAS DE LLEGAR'!Área_de_impresión</vt:lpstr>
      <vt:lpstr>'GUÍA Y FÓRMULAS'!Área_de_impresión</vt:lpstr>
      <vt:lpstr>'VENTA CON CIERRE'!Área_de_impresión</vt:lpstr>
      <vt:lpstr>'VENTA DIRECTA'!Área_de_impresión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Calculadora 10+ del Objetivo de Facturación</dc:title>
  <dc:subject>Radiografía 10+ del Crecimiento Empresarial</dc:subject>
  <dc:creator>Rafael Bonilla 10+ · Método All In One</dc:creator>
  <dc:description>Calculadoras de venta directa y venta con cierre para convertir un objetivo anual de facturación en actividad comercial.</dc:description>
  <cp:lastModifiedBy>Rafael Bonilla</cp:lastModifiedBy>
  <cp:revision>0</cp:revision>
  <dcterms:created xsi:type="dcterms:W3CDTF">2026-08-21T12:46:56Z</dcterms:created>
  <dcterms:modified xsi:type="dcterms:W3CDTF">2026-09-25T12:39:32Z</dcterms:modified>
  <dc:language>en-US</dc:language>
</cp:coreProperties>
</file>